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D:\Documentos\MEMORIA SANDRA MILENA TRABAJOS HOSPITAL\CARPETA HOSPITAL\CARPETA HOSPITAL AÑO 2024\"/>
    </mc:Choice>
  </mc:AlternateContent>
  <xr:revisionPtr revIDLastSave="0" documentId="13_ncr:1_{6EC51473-8F3B-49FA-8AEA-22238515ABC0}" xr6:coauthVersionLast="47" xr6:coauthVersionMax="47" xr10:uidLastSave="{00000000-0000-0000-0000-000000000000}"/>
  <bookViews>
    <workbookView xWindow="-120" yWindow="-120" windowWidth="20730" windowHeight="11160" xr2:uid="{00000000-000D-0000-FFFF-FFFF00000000}"/>
  </bookViews>
  <sheets>
    <sheet name="CONTRATOS" sheetId="1" r:id="rId1"/>
    <sheet name="EJECUCIÓN DE CONTRATOS" sheetId="3" r:id="rId2"/>
  </sheets>
  <definedNames>
    <definedName name="_xlnm._FilterDatabase" localSheetId="0" hidden="1">CONTRATOS!$A$3:$P$71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80" i="1" l="1"/>
  <c r="O79" i="1"/>
  <c r="H79" i="1"/>
  <c r="O80" i="1"/>
  <c r="O78" i="1"/>
  <c r="H78" i="1"/>
  <c r="O77" i="1"/>
  <c r="H77" i="1"/>
  <c r="O76" i="1"/>
  <c r="O75" i="1"/>
  <c r="O74" i="1"/>
  <c r="O73" i="1"/>
  <c r="H76" i="1"/>
  <c r="H75" i="1"/>
  <c r="H74" i="1"/>
  <c r="H73" i="1"/>
  <c r="H72" i="1"/>
  <c r="O72" i="1"/>
  <c r="O71" i="1"/>
  <c r="H71" i="1"/>
  <c r="O70" i="1"/>
  <c r="H70" i="1"/>
  <c r="O69" i="1"/>
  <c r="H69" i="1"/>
  <c r="O68" i="1"/>
  <c r="H68" i="1"/>
  <c r="O67" i="1"/>
  <c r="H67" i="1"/>
  <c r="O66" i="1"/>
  <c r="H66" i="1"/>
  <c r="O65" i="1"/>
  <c r="H65" i="1"/>
  <c r="H64" i="1"/>
  <c r="O64" i="1"/>
  <c r="O63" i="1"/>
  <c r="H63" i="1"/>
  <c r="O62" i="1"/>
  <c r="H62" i="1"/>
  <c r="O61" i="1"/>
  <c r="H61" i="1"/>
  <c r="O60" i="1"/>
  <c r="H60" i="1"/>
  <c r="O59" i="1"/>
  <c r="H59" i="1"/>
  <c r="O58" i="1"/>
  <c r="O57" i="1"/>
  <c r="H58" i="1"/>
  <c r="H57" i="1"/>
  <c r="O56" i="1"/>
  <c r="H56" i="1"/>
  <c r="O55" i="1"/>
  <c r="H55" i="1"/>
  <c r="O54" i="1"/>
  <c r="H54" i="1"/>
  <c r="O53" i="1"/>
  <c r="H53" i="1"/>
  <c r="H52" i="1"/>
  <c r="H51" i="1"/>
  <c r="H50" i="1"/>
  <c r="H48" i="1" l="1"/>
  <c r="H47" i="1"/>
  <c r="H46" i="1"/>
  <c r="H45" i="1" l="1"/>
  <c r="H44" i="1" l="1"/>
  <c r="H43" i="1"/>
  <c r="H42" i="1"/>
  <c r="H41" i="1"/>
  <c r="H40" i="1"/>
  <c r="O39" i="1"/>
  <c r="H39" i="1"/>
  <c r="H38" i="1" l="1"/>
  <c r="H37" i="1" l="1"/>
  <c r="H36" i="1"/>
  <c r="H35" i="1"/>
  <c r="H34" i="1"/>
  <c r="H33" i="1"/>
  <c r="H32" i="1"/>
  <c r="O5" i="1" l="1"/>
  <c r="H7" i="1" l="1"/>
  <c r="H6" i="1"/>
  <c r="H5" i="1"/>
  <c r="H4" i="1"/>
  <c r="H31" i="1" l="1"/>
  <c r="H30" i="1"/>
  <c r="H29" i="1"/>
  <c r="H28" i="1"/>
  <c r="H27" i="1"/>
  <c r="H26" i="1"/>
  <c r="H25" i="1"/>
  <c r="O24" i="1"/>
  <c r="H24" i="1"/>
  <c r="H23" i="1"/>
  <c r="H22" i="1"/>
  <c r="H21" i="1"/>
  <c r="H20" i="1"/>
  <c r="H19" i="1"/>
  <c r="H18" i="1"/>
  <c r="H17" i="1"/>
  <c r="H16" i="1"/>
  <c r="H15" i="1"/>
  <c r="H14" i="1"/>
  <c r="H13" i="1"/>
  <c r="H12" i="1"/>
  <c r="H11" i="1"/>
  <c r="H10" i="1"/>
  <c r="H9" i="1"/>
  <c r="H8" i="1"/>
  <c r="O52" i="1" l="1"/>
  <c r="O51" i="1"/>
  <c r="O50" i="1"/>
  <c r="AR23" i="3" l="1"/>
  <c r="AL23" i="3"/>
  <c r="AJ23" i="3"/>
  <c r="AB23" i="3"/>
  <c r="Z23" i="3"/>
  <c r="X23" i="3"/>
  <c r="V23" i="3"/>
  <c r="T23" i="3"/>
  <c r="R23" i="3"/>
  <c r="P23" i="3"/>
  <c r="N24" i="3"/>
  <c r="N23" i="3"/>
  <c r="L24" i="3"/>
  <c r="L23" i="3"/>
  <c r="J24" i="3"/>
  <c r="J23" i="3"/>
  <c r="J46" i="3"/>
  <c r="J4" i="3"/>
  <c r="BB9" i="3"/>
  <c r="BB10" i="3"/>
  <c r="BB11" i="3"/>
  <c r="BB12" i="3"/>
  <c r="BB13" i="3"/>
  <c r="BB14" i="3"/>
  <c r="BB15" i="3"/>
  <c r="BB16" i="3"/>
  <c r="BB17" i="3"/>
  <c r="BB18" i="3"/>
  <c r="BB19" i="3"/>
  <c r="BB20" i="3"/>
  <c r="BB21" i="3"/>
  <c r="BB23"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8" i="3"/>
  <c r="AZ23" i="3"/>
  <c r="AZ44" i="3"/>
  <c r="AZ46" i="3"/>
  <c r="AX23" i="3"/>
  <c r="AX44" i="3"/>
  <c r="AX46" i="3"/>
  <c r="AV23" i="3"/>
  <c r="AV44" i="3"/>
  <c r="AV46" i="3"/>
  <c r="AT23" i="3"/>
  <c r="AT44" i="3"/>
  <c r="AT46" i="3"/>
  <c r="AR43" i="3"/>
  <c r="AR45" i="3"/>
  <c r="AR50" i="3"/>
  <c r="AP23" i="3"/>
  <c r="AP44" i="3"/>
  <c r="AP46" i="3"/>
  <c r="AN23" i="3"/>
  <c r="AN44" i="3"/>
  <c r="AN46" i="3"/>
  <c r="AL44" i="3"/>
  <c r="AL46" i="3"/>
  <c r="AJ44" i="3"/>
  <c r="AJ46" i="3"/>
  <c r="BG50" i="3"/>
  <c r="BG49" i="3"/>
  <c r="BG48" i="3"/>
  <c r="BG47" i="3"/>
  <c r="BG46" i="3"/>
  <c r="BG45" i="3"/>
  <c r="BG44" i="3"/>
  <c r="BG43" i="3"/>
  <c r="BG42" i="3"/>
  <c r="BG41" i="3"/>
  <c r="BG40" i="3"/>
  <c r="BG39" i="3"/>
  <c r="BG38" i="3"/>
  <c r="BG37" i="3"/>
  <c r="BG36" i="3"/>
  <c r="BG35" i="3"/>
  <c r="BG34" i="3"/>
  <c r="BG33" i="3"/>
  <c r="BG32" i="3"/>
  <c r="BG31" i="3"/>
  <c r="BG30" i="3"/>
  <c r="BG29" i="3"/>
  <c r="BG28" i="3"/>
  <c r="BG27" i="3"/>
  <c r="BG26" i="3"/>
  <c r="BG25" i="3"/>
  <c r="BG24" i="3"/>
  <c r="BG23" i="3"/>
  <c r="AK22" i="3"/>
  <c r="BG21" i="3"/>
  <c r="BG20" i="3"/>
  <c r="BG19" i="3"/>
  <c r="BG18" i="3"/>
  <c r="BG17" i="3"/>
  <c r="BG16" i="3"/>
  <c r="BG15" i="3"/>
  <c r="BG14" i="3"/>
  <c r="BG13" i="3"/>
  <c r="BG12" i="3"/>
  <c r="BG11" i="3"/>
  <c r="BG10" i="3"/>
  <c r="BG9" i="3"/>
  <c r="BG8" i="3"/>
  <c r="AG40" i="3"/>
  <c r="P38" i="3"/>
  <c r="AG36" i="3"/>
  <c r="AB36" i="3"/>
  <c r="BB22" i="3" l="1"/>
  <c r="AR22" i="3"/>
  <c r="BG22" i="3"/>
  <c r="J44" i="3" l="1"/>
  <c r="L44" i="3"/>
  <c r="N44" i="3"/>
  <c r="P44" i="3"/>
  <c r="R44" i="3"/>
  <c r="T44" i="3"/>
  <c r="V44" i="3"/>
  <c r="X44" i="3"/>
  <c r="Z44" i="3"/>
  <c r="L46" i="3"/>
  <c r="N46" i="3"/>
  <c r="P46" i="3"/>
  <c r="R46" i="3"/>
  <c r="T46" i="3"/>
  <c r="V46" i="3"/>
  <c r="X46" i="3"/>
  <c r="Z46" i="3"/>
  <c r="AG15" i="3" l="1"/>
  <c r="AG9" i="3"/>
  <c r="AG10" i="3"/>
  <c r="AG11" i="3"/>
  <c r="AG12" i="3"/>
  <c r="AG13" i="3"/>
  <c r="AG14" i="3"/>
  <c r="AG16" i="3"/>
  <c r="AG17" i="3"/>
  <c r="AG18" i="3"/>
  <c r="AG19" i="3"/>
  <c r="AG20" i="3"/>
  <c r="AG21" i="3"/>
  <c r="AG23" i="3"/>
  <c r="AH23" i="3" s="1"/>
  <c r="AG24" i="3"/>
  <c r="AH24" i="3" s="1"/>
  <c r="AG25" i="3"/>
  <c r="AG26" i="3"/>
  <c r="AG27" i="3"/>
  <c r="AG28" i="3"/>
  <c r="AG29" i="3"/>
  <c r="AG30" i="3"/>
  <c r="AG31" i="3"/>
  <c r="AG32" i="3"/>
  <c r="AG33" i="3"/>
  <c r="AG34" i="3"/>
  <c r="AG35" i="3"/>
  <c r="AG37" i="3"/>
  <c r="AG38" i="3"/>
  <c r="AG39" i="3"/>
  <c r="AG41" i="3"/>
  <c r="AG42" i="3"/>
  <c r="AG43" i="3"/>
  <c r="AG44" i="3"/>
  <c r="AH44" i="3" s="1"/>
  <c r="AG45" i="3"/>
  <c r="AG46" i="3"/>
  <c r="AH46" i="3" s="1"/>
  <c r="AG47" i="3"/>
  <c r="AG48" i="3"/>
  <c r="AG49" i="3"/>
  <c r="AG50" i="3"/>
  <c r="AG8" i="3"/>
  <c r="J14" i="3" l="1"/>
  <c r="J10" i="3" l="1"/>
  <c r="X10" i="3"/>
  <c r="J12" i="3"/>
  <c r="X12" i="3"/>
  <c r="J16" i="3"/>
  <c r="X16" i="3"/>
  <c r="J18" i="3"/>
  <c r="X18" i="3"/>
  <c r="J20" i="3"/>
  <c r="X20" i="3"/>
  <c r="J8" i="3"/>
  <c r="X8" i="3" l="1"/>
  <c r="K22" i="3" l="1"/>
  <c r="AG22" i="3" l="1"/>
  <c r="F50" i="3"/>
  <c r="F49" i="3"/>
  <c r="F48" i="3"/>
  <c r="F47" i="3"/>
  <c r="F45" i="3"/>
  <c r="F43" i="3"/>
  <c r="F42" i="3"/>
  <c r="F41" i="3"/>
  <c r="F40" i="3"/>
  <c r="F39" i="3"/>
  <c r="F38" i="3"/>
  <c r="F37" i="3"/>
  <c r="F36" i="3"/>
  <c r="F35" i="3"/>
  <c r="F34" i="3"/>
  <c r="F33" i="3"/>
  <c r="F32" i="3"/>
  <c r="F31" i="3"/>
  <c r="F30" i="3"/>
  <c r="F29" i="3"/>
  <c r="F28" i="3"/>
  <c r="F27" i="3"/>
  <c r="F26" i="3"/>
  <c r="F25" i="3"/>
  <c r="F22" i="3"/>
  <c r="F21" i="3"/>
  <c r="F20" i="3"/>
  <c r="F19" i="3"/>
  <c r="F18" i="3"/>
  <c r="F17" i="3"/>
  <c r="F16" i="3"/>
  <c r="F15" i="3"/>
  <c r="F14" i="3"/>
  <c r="F13" i="3"/>
  <c r="F12" i="3"/>
  <c r="F11" i="3"/>
  <c r="F10" i="3"/>
  <c r="F9" i="3"/>
  <c r="F8" i="3"/>
  <c r="F7" i="3"/>
  <c r="F6" i="3"/>
  <c r="F5" i="3"/>
  <c r="F4" i="3"/>
  <c r="AZ8" i="3" l="1"/>
  <c r="AX8" i="3"/>
  <c r="AV8" i="3"/>
  <c r="AT8" i="3"/>
  <c r="AP8" i="3"/>
  <c r="AN8" i="3"/>
  <c r="AL8" i="3"/>
  <c r="AJ8" i="3"/>
  <c r="AB8" i="3"/>
  <c r="AH8" i="3"/>
  <c r="AZ9" i="3"/>
  <c r="AX9" i="3"/>
  <c r="AV9" i="3"/>
  <c r="AT9" i="3"/>
  <c r="AR8" i="3"/>
  <c r="AP9" i="3"/>
  <c r="AN9" i="3"/>
  <c r="AL9" i="3"/>
  <c r="AJ9" i="3"/>
  <c r="AB9" i="3"/>
  <c r="AH9" i="3"/>
  <c r="AZ10" i="3"/>
  <c r="AX10" i="3"/>
  <c r="AV10" i="3"/>
  <c r="AT10" i="3"/>
  <c r="AR9" i="3"/>
  <c r="AP10" i="3"/>
  <c r="AN10" i="3"/>
  <c r="AL10" i="3"/>
  <c r="AJ10" i="3"/>
  <c r="AB10" i="3"/>
  <c r="AH10" i="3"/>
  <c r="AZ11" i="3"/>
  <c r="AX11" i="3"/>
  <c r="AV11" i="3"/>
  <c r="AT11" i="3"/>
  <c r="AR10" i="3"/>
  <c r="AP11" i="3"/>
  <c r="AN11" i="3"/>
  <c r="AL11" i="3"/>
  <c r="AJ11" i="3"/>
  <c r="AB11" i="3"/>
  <c r="AH11" i="3"/>
  <c r="AZ12" i="3"/>
  <c r="AX12" i="3"/>
  <c r="AV12" i="3"/>
  <c r="AT12" i="3"/>
  <c r="AR11" i="3"/>
  <c r="AP12" i="3"/>
  <c r="AN12" i="3"/>
  <c r="AL12" i="3"/>
  <c r="AJ12" i="3"/>
  <c r="AB12" i="3"/>
  <c r="AH12" i="3"/>
  <c r="AZ13" i="3"/>
  <c r="AX13" i="3"/>
  <c r="AV13" i="3"/>
  <c r="AT13" i="3"/>
  <c r="AR12" i="3"/>
  <c r="AP13" i="3"/>
  <c r="AN13" i="3"/>
  <c r="AL13" i="3"/>
  <c r="AJ13" i="3"/>
  <c r="AB13" i="3"/>
  <c r="AH13" i="3"/>
  <c r="AZ14" i="3"/>
  <c r="AX14" i="3"/>
  <c r="AV14" i="3"/>
  <c r="AT14" i="3"/>
  <c r="AR13" i="3"/>
  <c r="AP14" i="3"/>
  <c r="AN14" i="3"/>
  <c r="AL14" i="3"/>
  <c r="AJ14" i="3"/>
  <c r="AH14" i="3"/>
  <c r="AZ15" i="3"/>
  <c r="AX15" i="3"/>
  <c r="AV15" i="3"/>
  <c r="AT15" i="3"/>
  <c r="AR14" i="3"/>
  <c r="AP15" i="3"/>
  <c r="AN15" i="3"/>
  <c r="AL15" i="3"/>
  <c r="AJ15" i="3"/>
  <c r="AB15" i="3"/>
  <c r="AH15" i="3"/>
  <c r="AZ16" i="3"/>
  <c r="AX16" i="3"/>
  <c r="AV16" i="3"/>
  <c r="AT16" i="3"/>
  <c r="AR15" i="3"/>
  <c r="AP16" i="3"/>
  <c r="AN16" i="3"/>
  <c r="AL16" i="3"/>
  <c r="AJ16" i="3"/>
  <c r="AB16" i="3"/>
  <c r="AH16" i="3"/>
  <c r="AZ17" i="3"/>
  <c r="AX17" i="3"/>
  <c r="AV17" i="3"/>
  <c r="AT17" i="3"/>
  <c r="AR16" i="3"/>
  <c r="AP17" i="3"/>
  <c r="AN17" i="3"/>
  <c r="AL17" i="3"/>
  <c r="AJ17" i="3"/>
  <c r="AB17" i="3"/>
  <c r="AH17" i="3"/>
  <c r="AZ18" i="3"/>
  <c r="AX18" i="3"/>
  <c r="AV18" i="3"/>
  <c r="AT18" i="3"/>
  <c r="AR17" i="3"/>
  <c r="AP18" i="3"/>
  <c r="AN18" i="3"/>
  <c r="AL18" i="3"/>
  <c r="AJ18" i="3"/>
  <c r="AB18" i="3"/>
  <c r="AH18" i="3"/>
  <c r="AZ19" i="3"/>
  <c r="AX19" i="3"/>
  <c r="AV19" i="3"/>
  <c r="AT19" i="3"/>
  <c r="AR18" i="3"/>
  <c r="AP19" i="3"/>
  <c r="AN19" i="3"/>
  <c r="AL19" i="3"/>
  <c r="AJ19" i="3"/>
  <c r="AB19" i="3"/>
  <c r="AH19" i="3"/>
  <c r="AZ20" i="3"/>
  <c r="AX20" i="3"/>
  <c r="AV20" i="3"/>
  <c r="AT20" i="3"/>
  <c r="AR19" i="3"/>
  <c r="AP20" i="3"/>
  <c r="AN20" i="3"/>
  <c r="AL20" i="3"/>
  <c r="AJ20" i="3"/>
  <c r="AB20" i="3"/>
  <c r="AH20" i="3"/>
  <c r="AZ21" i="3"/>
  <c r="AX21" i="3"/>
  <c r="AV21" i="3"/>
  <c r="AT21" i="3"/>
  <c r="AR20" i="3"/>
  <c r="AP21" i="3"/>
  <c r="AN21" i="3"/>
  <c r="AL21" i="3"/>
  <c r="AJ21" i="3"/>
  <c r="AB21" i="3"/>
  <c r="AH21" i="3"/>
  <c r="AR21" i="3"/>
  <c r="AJ22" i="3"/>
  <c r="AZ22" i="3"/>
  <c r="AX22" i="3"/>
  <c r="AV22" i="3"/>
  <c r="AT22" i="3"/>
  <c r="AP22" i="3"/>
  <c r="AN22" i="3"/>
  <c r="AL22" i="3"/>
  <c r="V22" i="3"/>
  <c r="AB22" i="3"/>
  <c r="AZ25" i="3"/>
  <c r="AX25" i="3"/>
  <c r="AV25" i="3"/>
  <c r="AT25" i="3"/>
  <c r="AP25" i="3"/>
  <c r="AN25" i="3"/>
  <c r="AL25" i="3"/>
  <c r="AJ25" i="3"/>
  <c r="AB25" i="3"/>
  <c r="AH25" i="3"/>
  <c r="AZ26" i="3"/>
  <c r="AX26" i="3"/>
  <c r="AV26" i="3"/>
  <c r="AT26" i="3"/>
  <c r="AR25" i="3"/>
  <c r="AP26" i="3"/>
  <c r="AN26" i="3"/>
  <c r="AL26" i="3"/>
  <c r="AJ26" i="3"/>
  <c r="AB26" i="3"/>
  <c r="AH26" i="3"/>
  <c r="AZ27" i="3"/>
  <c r="AX27" i="3"/>
  <c r="AV27" i="3"/>
  <c r="AT27" i="3"/>
  <c r="AR26" i="3"/>
  <c r="AP27" i="3"/>
  <c r="AN27" i="3"/>
  <c r="AL27" i="3"/>
  <c r="AJ27" i="3"/>
  <c r="Z27" i="3"/>
  <c r="R27" i="3"/>
  <c r="AH27" i="3"/>
  <c r="AZ28" i="3"/>
  <c r="AX28" i="3"/>
  <c r="AV28" i="3"/>
  <c r="AT28" i="3"/>
  <c r="AR27" i="3"/>
  <c r="AP28" i="3"/>
  <c r="AN28" i="3"/>
  <c r="AL28" i="3"/>
  <c r="AJ28" i="3"/>
  <c r="AH28" i="3"/>
  <c r="AZ29" i="3"/>
  <c r="AX29" i="3"/>
  <c r="AV29" i="3"/>
  <c r="AT29" i="3"/>
  <c r="AR28" i="3"/>
  <c r="AP29" i="3"/>
  <c r="AN29" i="3"/>
  <c r="AL29" i="3"/>
  <c r="AJ29" i="3"/>
  <c r="AH29" i="3"/>
  <c r="AB30" i="3"/>
  <c r="AZ30" i="3"/>
  <c r="AX30" i="3"/>
  <c r="AV30" i="3"/>
  <c r="AT30" i="3"/>
  <c r="AR29" i="3"/>
  <c r="AP30" i="3"/>
  <c r="AN30" i="3"/>
  <c r="AL30" i="3"/>
  <c r="AJ30" i="3"/>
  <c r="AH30" i="3"/>
  <c r="AZ31" i="3"/>
  <c r="AX31" i="3"/>
  <c r="AV31" i="3"/>
  <c r="AT31" i="3"/>
  <c r="AR30" i="3"/>
  <c r="AP31" i="3"/>
  <c r="AN31" i="3"/>
  <c r="AL31" i="3"/>
  <c r="AJ31" i="3"/>
  <c r="AH31" i="3"/>
  <c r="AZ32" i="3"/>
  <c r="AX32" i="3"/>
  <c r="AV32" i="3"/>
  <c r="AT32" i="3"/>
  <c r="AR31" i="3"/>
  <c r="AP32" i="3"/>
  <c r="AN32" i="3"/>
  <c r="AL32" i="3"/>
  <c r="AJ32" i="3"/>
  <c r="AB32" i="3"/>
  <c r="AH32" i="3"/>
  <c r="AZ33" i="3"/>
  <c r="AX33" i="3"/>
  <c r="AV33" i="3"/>
  <c r="AT33" i="3"/>
  <c r="AR32" i="3"/>
  <c r="AP33" i="3"/>
  <c r="AN33" i="3"/>
  <c r="AL33" i="3"/>
  <c r="AJ33" i="3"/>
  <c r="AB33" i="3"/>
  <c r="AH33" i="3"/>
  <c r="AZ34" i="3"/>
  <c r="AX34" i="3"/>
  <c r="AV34" i="3"/>
  <c r="AT34" i="3"/>
  <c r="AR33" i="3"/>
  <c r="AP34" i="3"/>
  <c r="AN34" i="3"/>
  <c r="AL34" i="3"/>
  <c r="AJ34" i="3"/>
  <c r="AH34" i="3"/>
  <c r="AZ35" i="3"/>
  <c r="AX35" i="3"/>
  <c r="AV35" i="3"/>
  <c r="AT35" i="3"/>
  <c r="AR34" i="3"/>
  <c r="AP35" i="3"/>
  <c r="AN35" i="3"/>
  <c r="AL35" i="3"/>
  <c r="AJ35" i="3"/>
  <c r="AH35" i="3"/>
  <c r="AZ36" i="3"/>
  <c r="AX36" i="3"/>
  <c r="AV36" i="3"/>
  <c r="AT36" i="3"/>
  <c r="AR35" i="3"/>
  <c r="AP36" i="3"/>
  <c r="AN36" i="3"/>
  <c r="AL36" i="3"/>
  <c r="AJ36" i="3"/>
  <c r="AH36" i="3"/>
  <c r="AZ37" i="3"/>
  <c r="AX37" i="3"/>
  <c r="AV37" i="3"/>
  <c r="AT37" i="3"/>
  <c r="AR36" i="3"/>
  <c r="AP37" i="3"/>
  <c r="AN37" i="3"/>
  <c r="AL37" i="3"/>
  <c r="AJ37" i="3"/>
  <c r="AH37" i="3"/>
  <c r="AZ38" i="3"/>
  <c r="AX38" i="3"/>
  <c r="AV38" i="3"/>
  <c r="AT38" i="3"/>
  <c r="AR37" i="3"/>
  <c r="AP38" i="3"/>
  <c r="AN38" i="3"/>
  <c r="AL38" i="3"/>
  <c r="AJ38" i="3"/>
  <c r="AB38" i="3"/>
  <c r="R38" i="3"/>
  <c r="AH38" i="3"/>
  <c r="AZ39" i="3"/>
  <c r="AX39" i="3"/>
  <c r="AV39" i="3"/>
  <c r="AT39" i="3"/>
  <c r="AR38" i="3"/>
  <c r="AP39" i="3"/>
  <c r="AN39" i="3"/>
  <c r="AL39" i="3"/>
  <c r="AJ39" i="3"/>
  <c r="AH39" i="3"/>
  <c r="AZ40" i="3"/>
  <c r="AX40" i="3"/>
  <c r="AV40" i="3"/>
  <c r="AT40" i="3"/>
  <c r="AR39" i="3"/>
  <c r="AP40" i="3"/>
  <c r="AN40" i="3"/>
  <c r="AL40" i="3"/>
  <c r="AJ40" i="3"/>
  <c r="AB40" i="3"/>
  <c r="AH40" i="3"/>
  <c r="AZ41" i="3"/>
  <c r="AX41" i="3"/>
  <c r="AV41" i="3"/>
  <c r="AT41" i="3"/>
  <c r="AR40" i="3"/>
  <c r="AP41" i="3"/>
  <c r="AN41" i="3"/>
  <c r="AL41" i="3"/>
  <c r="AJ41" i="3"/>
  <c r="AB41" i="3"/>
  <c r="AH41" i="3"/>
  <c r="AZ42" i="3"/>
  <c r="AX42" i="3"/>
  <c r="AV42" i="3"/>
  <c r="AT42" i="3"/>
  <c r="AR41" i="3"/>
  <c r="AP42" i="3"/>
  <c r="AN42" i="3"/>
  <c r="AL42" i="3"/>
  <c r="AJ42" i="3"/>
  <c r="AB42" i="3"/>
  <c r="AH42" i="3"/>
  <c r="AZ43" i="3"/>
  <c r="AX43" i="3"/>
  <c r="AV43" i="3"/>
  <c r="AT43" i="3"/>
  <c r="AR42" i="3"/>
  <c r="AP43" i="3"/>
  <c r="AN43" i="3"/>
  <c r="AL43" i="3"/>
  <c r="AJ43" i="3"/>
  <c r="AH43" i="3"/>
  <c r="AZ45" i="3"/>
  <c r="AX45" i="3"/>
  <c r="AV45" i="3"/>
  <c r="AT45" i="3"/>
  <c r="AR44" i="3"/>
  <c r="AP45" i="3"/>
  <c r="AN45" i="3"/>
  <c r="AL45" i="3"/>
  <c r="AJ45" i="3"/>
  <c r="AH45" i="3"/>
  <c r="AZ47" i="3"/>
  <c r="AX47" i="3"/>
  <c r="AV47" i="3"/>
  <c r="AT47" i="3"/>
  <c r="AR46" i="3"/>
  <c r="AP47" i="3"/>
  <c r="AN47" i="3"/>
  <c r="AL47" i="3"/>
  <c r="AJ47" i="3"/>
  <c r="AH47" i="3"/>
  <c r="AZ48" i="3"/>
  <c r="AX48" i="3"/>
  <c r="AV48" i="3"/>
  <c r="AT48" i="3"/>
  <c r="AR47" i="3"/>
  <c r="AP48" i="3"/>
  <c r="AN48" i="3"/>
  <c r="AL48" i="3"/>
  <c r="AJ48" i="3"/>
  <c r="AB48" i="3"/>
  <c r="AH48" i="3"/>
  <c r="AZ49" i="3"/>
  <c r="AX49" i="3"/>
  <c r="AV49" i="3"/>
  <c r="AT49" i="3"/>
  <c r="AR48" i="3"/>
  <c r="AP49" i="3"/>
  <c r="AN49" i="3"/>
  <c r="AL49" i="3"/>
  <c r="AJ49" i="3"/>
  <c r="AH49" i="3"/>
  <c r="AZ50" i="3"/>
  <c r="AX50" i="3"/>
  <c r="AV50" i="3"/>
  <c r="AT50" i="3"/>
  <c r="AR49" i="3"/>
  <c r="AP50" i="3"/>
  <c r="AN50" i="3"/>
  <c r="AL50" i="3"/>
  <c r="AJ50" i="3"/>
  <c r="AB50" i="3"/>
  <c r="AH50" i="3"/>
  <c r="AH22" i="3"/>
  <c r="R8" i="3"/>
  <c r="N8" i="3"/>
  <c r="Z8" i="3"/>
  <c r="V8" i="3"/>
  <c r="T8" i="3"/>
  <c r="P8" i="3"/>
  <c r="L8" i="3"/>
  <c r="P10" i="3"/>
  <c r="R10" i="3"/>
  <c r="V10" i="3"/>
  <c r="Z10" i="3"/>
  <c r="N10" i="3"/>
  <c r="L10" i="3"/>
  <c r="T10" i="3"/>
  <c r="N12" i="3"/>
  <c r="R12" i="3"/>
  <c r="V12" i="3"/>
  <c r="Z12" i="3"/>
  <c r="L12" i="3"/>
  <c r="P12" i="3"/>
  <c r="T12" i="3"/>
  <c r="P14" i="3"/>
  <c r="N14" i="3"/>
  <c r="L14" i="3"/>
  <c r="N16" i="3"/>
  <c r="R16" i="3"/>
  <c r="V16" i="3"/>
  <c r="Z16" i="3"/>
  <c r="L16" i="3"/>
  <c r="P16" i="3"/>
  <c r="T16" i="3"/>
  <c r="N18" i="3"/>
  <c r="R18" i="3"/>
  <c r="V18" i="3"/>
  <c r="Z18" i="3"/>
  <c r="L18" i="3"/>
  <c r="P18" i="3"/>
  <c r="T18" i="3"/>
  <c r="N20" i="3"/>
  <c r="R20" i="3"/>
  <c r="V20" i="3"/>
  <c r="Z20" i="3"/>
  <c r="L20" i="3"/>
  <c r="P20" i="3"/>
  <c r="T20" i="3"/>
  <c r="R22" i="3"/>
  <c r="J22" i="3"/>
  <c r="X26" i="3"/>
  <c r="T26" i="3"/>
  <c r="P26" i="3"/>
  <c r="L26" i="3"/>
  <c r="Z26" i="3"/>
  <c r="V26" i="3"/>
  <c r="R26" i="3"/>
  <c r="N26" i="3"/>
  <c r="J26" i="3"/>
  <c r="L28" i="3"/>
  <c r="P28" i="3"/>
  <c r="T28" i="3"/>
  <c r="X28" i="3"/>
  <c r="J28" i="3"/>
  <c r="R28" i="3"/>
  <c r="Z28" i="3"/>
  <c r="N28" i="3"/>
  <c r="V28" i="3"/>
  <c r="L30" i="3"/>
  <c r="P30" i="3"/>
  <c r="T30" i="3"/>
  <c r="X30" i="3"/>
  <c r="N30" i="3"/>
  <c r="V30" i="3"/>
  <c r="J30" i="3"/>
  <c r="R30" i="3"/>
  <c r="Z30" i="3"/>
  <c r="L32" i="3"/>
  <c r="P32" i="3"/>
  <c r="T32" i="3"/>
  <c r="X32" i="3"/>
  <c r="J32" i="3"/>
  <c r="R32" i="3"/>
  <c r="Z32" i="3"/>
  <c r="N32" i="3"/>
  <c r="V32" i="3"/>
  <c r="L34" i="3"/>
  <c r="P34" i="3"/>
  <c r="T34" i="3"/>
  <c r="X34" i="3"/>
  <c r="N34" i="3"/>
  <c r="V34" i="3"/>
  <c r="J34" i="3"/>
  <c r="R34" i="3"/>
  <c r="Z34" i="3"/>
  <c r="L36" i="3"/>
  <c r="P36" i="3"/>
  <c r="T36" i="3"/>
  <c r="X36" i="3"/>
  <c r="J36" i="3"/>
  <c r="R36" i="3"/>
  <c r="Z36" i="3"/>
  <c r="N36" i="3"/>
  <c r="V36" i="3"/>
  <c r="L38" i="3"/>
  <c r="T38" i="3"/>
  <c r="X38" i="3"/>
  <c r="N38" i="3"/>
  <c r="V38" i="3"/>
  <c r="J38" i="3"/>
  <c r="Z38" i="3"/>
  <c r="L40" i="3"/>
  <c r="P40" i="3"/>
  <c r="T40" i="3"/>
  <c r="X40" i="3"/>
  <c r="J40" i="3"/>
  <c r="R40" i="3"/>
  <c r="Z40" i="3"/>
  <c r="N40" i="3"/>
  <c r="V40" i="3"/>
  <c r="L42" i="3"/>
  <c r="P42" i="3"/>
  <c r="T42" i="3"/>
  <c r="X42" i="3"/>
  <c r="N42" i="3"/>
  <c r="V42" i="3"/>
  <c r="J42" i="3"/>
  <c r="R42" i="3"/>
  <c r="Z42" i="3"/>
  <c r="J45" i="3"/>
  <c r="N45" i="3"/>
  <c r="R45" i="3"/>
  <c r="V45" i="3"/>
  <c r="Z45" i="3"/>
  <c r="P45" i="3"/>
  <c r="X45" i="3"/>
  <c r="L45" i="3"/>
  <c r="T45" i="3"/>
  <c r="J48" i="3"/>
  <c r="N48" i="3"/>
  <c r="R48" i="3"/>
  <c r="V48" i="3"/>
  <c r="Z48" i="3"/>
  <c r="L48" i="3"/>
  <c r="P48" i="3"/>
  <c r="T48" i="3"/>
  <c r="X48" i="3"/>
  <c r="J50" i="3"/>
  <c r="N50" i="3"/>
  <c r="R50" i="3"/>
  <c r="V50" i="3"/>
  <c r="Z50" i="3"/>
  <c r="L50" i="3"/>
  <c r="P50" i="3"/>
  <c r="T50" i="3"/>
  <c r="X50" i="3"/>
  <c r="X22" i="3"/>
  <c r="Z22" i="3"/>
  <c r="L22" i="3"/>
  <c r="J9" i="3"/>
  <c r="X9" i="3"/>
  <c r="T9" i="3"/>
  <c r="P9" i="3"/>
  <c r="L9" i="3"/>
  <c r="Z9" i="3"/>
  <c r="V9" i="3"/>
  <c r="R9" i="3"/>
  <c r="N9" i="3"/>
  <c r="J11" i="3"/>
  <c r="L11" i="3"/>
  <c r="P11" i="3"/>
  <c r="T11" i="3"/>
  <c r="X11" i="3"/>
  <c r="N11" i="3"/>
  <c r="R11" i="3"/>
  <c r="V11" i="3"/>
  <c r="Z11" i="3"/>
  <c r="Z13" i="3"/>
  <c r="V13" i="3"/>
  <c r="R13" i="3"/>
  <c r="X13" i="3"/>
  <c r="T13" i="3"/>
  <c r="L13" i="3"/>
  <c r="P13" i="3"/>
  <c r="J13" i="3"/>
  <c r="N13" i="3"/>
  <c r="L15" i="3"/>
  <c r="P15" i="3"/>
  <c r="T15" i="3"/>
  <c r="X15" i="3"/>
  <c r="J15" i="3"/>
  <c r="N15" i="3"/>
  <c r="R15" i="3"/>
  <c r="V15" i="3"/>
  <c r="Z15" i="3"/>
  <c r="L17" i="3"/>
  <c r="P17" i="3"/>
  <c r="T17" i="3"/>
  <c r="X17" i="3"/>
  <c r="J17" i="3"/>
  <c r="N17" i="3"/>
  <c r="R17" i="3"/>
  <c r="V17" i="3"/>
  <c r="Z17" i="3"/>
  <c r="J19" i="3"/>
  <c r="R19" i="3"/>
  <c r="N19" i="3"/>
  <c r="T19" i="3"/>
  <c r="X19" i="3"/>
  <c r="L19" i="3"/>
  <c r="P19" i="3"/>
  <c r="V19" i="3"/>
  <c r="Z19" i="3"/>
  <c r="X21" i="3"/>
  <c r="T21" i="3"/>
  <c r="J21" i="3"/>
  <c r="Z21" i="3"/>
  <c r="V21" i="3"/>
  <c r="R21" i="3"/>
  <c r="N21" i="3"/>
  <c r="L21" i="3"/>
  <c r="P21" i="3"/>
  <c r="Z25" i="3"/>
  <c r="V25" i="3"/>
  <c r="R25" i="3"/>
  <c r="N25" i="3"/>
  <c r="J25" i="3"/>
  <c r="X25" i="3"/>
  <c r="T25" i="3"/>
  <c r="P25" i="3"/>
  <c r="L25" i="3"/>
  <c r="J27" i="3"/>
  <c r="N27" i="3"/>
  <c r="V27" i="3"/>
  <c r="L27" i="3"/>
  <c r="T27" i="3"/>
  <c r="P27" i="3"/>
  <c r="X27" i="3"/>
  <c r="J29" i="3"/>
  <c r="N29" i="3"/>
  <c r="R29" i="3"/>
  <c r="V29" i="3"/>
  <c r="Z29" i="3"/>
  <c r="P29" i="3"/>
  <c r="X29" i="3"/>
  <c r="L29" i="3"/>
  <c r="T29" i="3"/>
  <c r="J31" i="3"/>
  <c r="N31" i="3"/>
  <c r="R31" i="3"/>
  <c r="V31" i="3"/>
  <c r="Z31" i="3"/>
  <c r="L31" i="3"/>
  <c r="T31" i="3"/>
  <c r="P31" i="3"/>
  <c r="X31" i="3"/>
  <c r="J33" i="3"/>
  <c r="N33" i="3"/>
  <c r="R33" i="3"/>
  <c r="V33" i="3"/>
  <c r="Z33" i="3"/>
  <c r="P33" i="3"/>
  <c r="X33" i="3"/>
  <c r="L33" i="3"/>
  <c r="T33" i="3"/>
  <c r="J35" i="3"/>
  <c r="N35" i="3"/>
  <c r="R35" i="3"/>
  <c r="V35" i="3"/>
  <c r="Z35" i="3"/>
  <c r="L35" i="3"/>
  <c r="T35" i="3"/>
  <c r="P35" i="3"/>
  <c r="X35" i="3"/>
  <c r="J37" i="3"/>
  <c r="N37" i="3"/>
  <c r="R37" i="3"/>
  <c r="V37" i="3"/>
  <c r="Z37" i="3"/>
  <c r="P37" i="3"/>
  <c r="X37" i="3"/>
  <c r="L37" i="3"/>
  <c r="T37" i="3"/>
  <c r="J39" i="3"/>
  <c r="N39" i="3"/>
  <c r="R39" i="3"/>
  <c r="V39" i="3"/>
  <c r="Z39" i="3"/>
  <c r="L39" i="3"/>
  <c r="T39" i="3"/>
  <c r="P39" i="3"/>
  <c r="X39" i="3"/>
  <c r="J41" i="3"/>
  <c r="N41" i="3"/>
  <c r="R41" i="3"/>
  <c r="V41" i="3"/>
  <c r="Z41" i="3"/>
  <c r="P41" i="3"/>
  <c r="X41" i="3"/>
  <c r="L41" i="3"/>
  <c r="T41" i="3"/>
  <c r="J43" i="3"/>
  <c r="N43" i="3"/>
  <c r="R43" i="3"/>
  <c r="V43" i="3"/>
  <c r="Z43" i="3"/>
  <c r="L43" i="3"/>
  <c r="T43" i="3"/>
  <c r="P43" i="3"/>
  <c r="X43" i="3"/>
  <c r="J47" i="3"/>
  <c r="N47" i="3"/>
  <c r="R47" i="3"/>
  <c r="L47" i="3"/>
  <c r="T47" i="3"/>
  <c r="X47" i="3"/>
  <c r="P47" i="3"/>
  <c r="V47" i="3"/>
  <c r="Z47" i="3"/>
  <c r="L49" i="3"/>
  <c r="P49" i="3"/>
  <c r="T49" i="3"/>
  <c r="X49" i="3"/>
  <c r="J49" i="3"/>
  <c r="N49" i="3"/>
  <c r="R49" i="3"/>
  <c r="V49" i="3"/>
  <c r="Z49" i="3"/>
  <c r="N22" i="3"/>
  <c r="P22" i="3"/>
  <c r="T22" i="3"/>
  <c r="O49" i="1"/>
  <c r="O48" i="1" l="1"/>
  <c r="O47" i="1"/>
  <c r="O43" i="1" l="1"/>
  <c r="O42" i="1"/>
  <c r="O41" i="1"/>
  <c r="O40" i="1"/>
  <c r="O46" i="1"/>
  <c r="O45" i="1"/>
  <c r="O44" i="1"/>
  <c r="O38" i="1" l="1"/>
  <c r="O37" i="1"/>
  <c r="O36" i="1" l="1"/>
  <c r="O35" i="1"/>
  <c r="O34" i="1" l="1"/>
  <c r="O33" i="1"/>
  <c r="O32" i="1" l="1"/>
  <c r="O31" i="1"/>
  <c r="O30" i="1"/>
  <c r="O28" i="1" l="1"/>
  <c r="O29" i="1"/>
  <c r="O19" i="1" l="1"/>
  <c r="O17" i="1"/>
  <c r="O16" i="1"/>
  <c r="O9" i="1" l="1"/>
  <c r="O8" i="1"/>
  <c r="O4" i="1" l="1"/>
  <c r="O22" i="1" l="1"/>
  <c r="O15" i="1" l="1"/>
  <c r="O14" i="1"/>
  <c r="O13" i="1"/>
  <c r="O12" i="1"/>
  <c r="O27" i="1" l="1"/>
  <c r="O26" i="1"/>
  <c r="O25" i="1"/>
  <c r="O23" i="1"/>
  <c r="O21" i="1"/>
  <c r="O20" i="1"/>
  <c r="O18" i="1"/>
  <c r="O11" i="1" l="1"/>
  <c r="O10" i="1"/>
  <c r="O7" i="1"/>
  <c r="O6" i="1"/>
</calcChain>
</file>

<file path=xl/sharedStrings.xml><?xml version="1.0" encoding="utf-8"?>
<sst xmlns="http://schemas.openxmlformats.org/spreadsheetml/2006/main" count="1500" uniqueCount="489">
  <si>
    <t>N. CTO</t>
  </si>
  <si>
    <t xml:space="preserve">OBJETO </t>
  </si>
  <si>
    <t>VALOR</t>
  </si>
  <si>
    <t>FECHA DE INICIO</t>
  </si>
  <si>
    <t>FECHA DE TERMINACION</t>
  </si>
  <si>
    <t>COHOSAN</t>
  </si>
  <si>
    <t>ADICION</t>
  </si>
  <si>
    <t>TOTAL</t>
  </si>
  <si>
    <t>CEDULA O NIT</t>
  </si>
  <si>
    <t>804.009.200-4</t>
  </si>
  <si>
    <t>KIMBERLY XIOMARA RIVERA S.</t>
  </si>
  <si>
    <t>SECOP URL</t>
  </si>
  <si>
    <t>PRESTAR LOS SERVICIOS DE APOYO COMO AUXILIAR DE ENFERMERIA DE LA ESE HOSPITAL SAN JUAN DE DIOS BETULIA</t>
  </si>
  <si>
    <t>PRESTAR LOS SERVICIOS DE APOYO COMO AUXILIAR DE ENFERMERIA EN EL PUESTO DE SALUD DE TIENDA NUEVA DE LA ESE HOSPITAL SAN JUAN DE DIOS BETULIA</t>
  </si>
  <si>
    <t>PRESTAR LOS SERVICIOS DE APOYO COMO AUXILIAR DE SERVICIOS GENERALES EN EL PUESTO DE SALUD DE TIENDA NUEVA DE LA ESE HOSPITAL SAN JUAN DE DIOS BETULIA</t>
  </si>
  <si>
    <t>CRISTHIAN FERNANDO CAMACHO NAVARRO</t>
  </si>
  <si>
    <t>DURACION</t>
  </si>
  <si>
    <t>C.D.P.</t>
  </si>
  <si>
    <t>NUMERO</t>
  </si>
  <si>
    <t>FECHA</t>
  </si>
  <si>
    <t>R.P.</t>
  </si>
  <si>
    <t>ISABEL QUIJANO BAUTISTA</t>
  </si>
  <si>
    <t>ANA MILENA ARDILA ROJAS</t>
  </si>
  <si>
    <t>ESTEBAN JAIMES GUERRERO</t>
  </si>
  <si>
    <t>MARIA GABRIELA DST ACERO GOMEZ</t>
  </si>
  <si>
    <t>PRESTAR LOS SERVICIOS PROFESIONALES COMO ODONTOLOGA DE LA ESE HOSPITAL SAN JUAN DE DIOS BETULIA</t>
  </si>
  <si>
    <t>MANUEL JAIME PLATA SANCHEZ</t>
  </si>
  <si>
    <t>BLANCA INES ANGARITA GOMEZ</t>
  </si>
  <si>
    <t>DIANA KATERINE RUEDA RODRIGUEZ</t>
  </si>
  <si>
    <t>ENE</t>
  </si>
  <si>
    <t>FEB</t>
  </si>
  <si>
    <t>MAR</t>
  </si>
  <si>
    <t>ABR</t>
  </si>
  <si>
    <t>MAY</t>
  </si>
  <si>
    <t>JUN</t>
  </si>
  <si>
    <t>JUL</t>
  </si>
  <si>
    <t>AGO</t>
  </si>
  <si>
    <t>SEP</t>
  </si>
  <si>
    <t>OCT</t>
  </si>
  <si>
    <t>NOV</t>
  </si>
  <si>
    <t>DIC</t>
  </si>
  <si>
    <t>INFORMES MENSUALES</t>
  </si>
  <si>
    <t>SI</t>
  </si>
  <si>
    <t>NO</t>
  </si>
  <si>
    <t>INFORME SUPERVISOR</t>
  </si>
  <si>
    <t>ACTAS</t>
  </si>
  <si>
    <t>TER</t>
  </si>
  <si>
    <t>INI</t>
  </si>
  <si>
    <t>LIQ</t>
  </si>
  <si>
    <t>ACTA PARCIAL DE PAGO</t>
  </si>
  <si>
    <t>DOCUMENTOS</t>
  </si>
  <si>
    <t>PROPUESTA</t>
  </si>
  <si>
    <t>C.C.</t>
  </si>
  <si>
    <t>RUT</t>
  </si>
  <si>
    <t>PROCURADURIA</t>
  </si>
  <si>
    <t>CONTRALORIA</t>
  </si>
  <si>
    <t>POLICIA</t>
  </si>
  <si>
    <t>H.V. DAFP</t>
  </si>
  <si>
    <t>BIENES /RENTAS</t>
  </si>
  <si>
    <t>CAMARA COM</t>
  </si>
  <si>
    <t>EXPERIENCIA</t>
  </si>
  <si>
    <t>SGSSS</t>
  </si>
  <si>
    <t>LIBRETA</t>
  </si>
  <si>
    <t>RNMC</t>
  </si>
  <si>
    <t>CONTRATO DE PRESTACION DE SERVICIOS PROFESIONALES DE APOYO A LA GESTION COMO ASESOR JURIDICO DE LA EMPRESA SOCIAL DEL ESTADO E.S.E. HOSPITAL SAN JUAN DE DIOS BETULIA</t>
  </si>
  <si>
    <t>DORIS PLATA RUEDA</t>
  </si>
  <si>
    <t>JUAN FELIPE ESPITIA DUEÑAS</t>
  </si>
  <si>
    <t>PRESTACIÓN DEL SERVICIO DE ARRENDAMIENTO DE SOFTWARE SALUD 360 MODULOS ASISTENCIALES PARA EL DESARROLLO DE LOS PROCESOS DE LA E.S.E. HOSPITAL SAN JUAN DE DIOS DE BETULIA</t>
  </si>
  <si>
    <t>PRESTAR LOS SERVICIOS DE APOYO A LA GESTION COMO CONDUCTOR DE LA ESE HOSPITAL SAN JUAN DE DIOS BETULIA</t>
  </si>
  <si>
    <t>804009200-4</t>
  </si>
  <si>
    <t>SANDRA MILENA PLATA DIAZ</t>
  </si>
  <si>
    <t>SAUL DIAZ ALVAREZ</t>
  </si>
  <si>
    <t>ANDREA CAROLINA GOMEZ RODRIGUEZ</t>
  </si>
  <si>
    <t>2023-001</t>
  </si>
  <si>
    <t>COHOSAN MEDICAMENTOS</t>
  </si>
  <si>
    <t>2023-002</t>
  </si>
  <si>
    <t>2023-003</t>
  </si>
  <si>
    <t>SUMINISTRO PERIÓDICO O CONTINUO, DE MATERIAL DE ODONTOLOGIA PARA LA ESE HOSPITAL SAN JUAN DE DIOS DE BETULIA   SEGUN LAS CONDICIONES ESTABLECIDAS PARA SU PROVISIÓN, EN EL ACUERDO 29 DE 2012 Y LA RESOLUCIÓN 5521 DEL 27 DE DICIEMBRE DE 2013, RESOLUCIÓN 5926 DE 2014 RESOLUCIÓN 5592 DE 2015, LEY 1438 DE 2011</t>
  </si>
  <si>
    <t>2023-004</t>
  </si>
  <si>
    <t>SUMINISTRO PERIÓDICO O CONTINUO, DE MATERIAL DE LABORATORIO PARA LA ESE HOSPITAL SAN JUAN DE DIOS DE BETULIA SEGUN LAS CONDICIONES ESTABLECIDAS PARA SU PROVISIÓN, EN EL ACUERDO 29 DE 2012 Y LA RESOLUCIÓN 5521 DEL 27 DE DICIEMBRE DE 2013, RESOLUCIÓN 5926 DE 2014 RESOLUCIÓN 5592 DE 2015, LEY 1438 DE 2011</t>
  </si>
  <si>
    <t>2023-005</t>
  </si>
  <si>
    <t>ANGELO JAVIER RUEDA GOMEZ</t>
  </si>
  <si>
    <t>2023-006</t>
  </si>
  <si>
    <t>2023-007</t>
  </si>
  <si>
    <t>LUIS FERNANDO LOPEZ HERNANDEZ</t>
  </si>
  <si>
    <t>2023-008</t>
  </si>
  <si>
    <t>2023-009</t>
  </si>
  <si>
    <t>2023-010</t>
  </si>
  <si>
    <t>PRESTAR LOS SERVICIOS PROFESIONALES COMO ENFERMERA JEFE DE LA ESE HOSPITAL SAN JUAN DE DIOS BETULIA</t>
  </si>
  <si>
    <t>2023-011</t>
  </si>
  <si>
    <t>2023-012</t>
  </si>
  <si>
    <t>PRESTAR LOS SERVICIOS PROFESIONALES COMO MICROBIOLOGA Y BIOANALISTA DE LA ESE HOSPITAL SAN JUAN DE DIOS BETULIA</t>
  </si>
  <si>
    <t>2023-013</t>
  </si>
  <si>
    <t>2023-014</t>
  </si>
  <si>
    <t>2023-015</t>
  </si>
  <si>
    <t>2023-016</t>
  </si>
  <si>
    <t>2023-017</t>
  </si>
  <si>
    <t>2023-018</t>
  </si>
  <si>
    <t>2023-019</t>
  </si>
  <si>
    <t>2023-020</t>
  </si>
  <si>
    <t>TAS INTEGRAL S.A.S</t>
  </si>
  <si>
    <t>901.079.618-1</t>
  </si>
  <si>
    <t>2023-021</t>
  </si>
  <si>
    <t>CELIA RIOS JAIMES</t>
  </si>
  <si>
    <t>2023-022</t>
  </si>
  <si>
    <t>PRESTAR LOS SERVICIOS PROFESIONALES COMO ODONTOLOGO EN EL PUESTO DE SALUD DE TIENDA NUEVA DE LA ESE HOSPITAL SAN JUAN DE DIOS BETULIA</t>
  </si>
  <si>
    <t>2023-023</t>
  </si>
  <si>
    <t>ELILU-LUZ AYDA MARTINEZ</t>
  </si>
  <si>
    <t>SUMINISTRO DE ELEMENTOS DE PAPELERÍA Y MATERIAL PRE IMPRESO PARA LAS DIFERENTES ACTIVIDADES Y PROGRAMAS DE SALUD PÚBLICA QUE ADELANTA LA ESE HOSPITAL SAN JUAN DE DIOS BETULIA</t>
  </si>
  <si>
    <t>2023-024</t>
  </si>
  <si>
    <t>NUBIA MILLAN GONZALES</t>
  </si>
  <si>
    <t>I</t>
  </si>
  <si>
    <t>2023-025</t>
  </si>
  <si>
    <t xml:space="preserve">DESCONT S.A.S </t>
  </si>
  <si>
    <t>804.002.433-1</t>
  </si>
  <si>
    <t>PRESTAR LOS SERVICIOS PARA LA GESTION INTEGRAL DE RESIDUOS ESPECIALES PELIGROSOS HOSPITALARIOS (RECOLECCIÓN, TRANSPORTE, MANIPULACIÓN, TRATAMIENTO Y DISPOSICÓN FINAL) ENTREGADOS POR LA ENTIDAD CONTRATANTE EN LAS SEDES UBICADAS EN LA CALLE 11 CARRERA 6 ESQUINA Y PUESTO DE SALUD DE TIENDA NUEVA, VEREDA LA PUTANA, DEL MUNICIPIO DE BETULIA SANTANDER</t>
  </si>
  <si>
    <t>2023-026</t>
  </si>
  <si>
    <t>E.D.E BRISAS DEL EDEN ZAPATOCA</t>
  </si>
  <si>
    <t>901.348.994-9</t>
  </si>
  <si>
    <t>EFECTUAR EL SUMINISTRO CONTINUO Y PERMANENTE DE COMBUSTIBLES Y LUBRICANTES PARA EL FUNCIONAMIENTO DE LOS VEHICULOS DE LA ESE HOSPITAL SAN JUAN DE DIOS DE BETULIA, DEBIDAMENTE REGISTRADOS EN LA BASE DE DATOS DE LA ENTIDAD CONTRATISTA, DE ACUERDO A LOS REQUERIMIENTOS DE ABASTECIMIENTO</t>
  </si>
  <si>
    <t>2023-027</t>
  </si>
  <si>
    <t>ICH SOLUCIONES S.A.S</t>
  </si>
  <si>
    <t>901.240.625-0</t>
  </si>
  <si>
    <t>2023-028</t>
  </si>
  <si>
    <t>INBIOMECS S.A.S</t>
  </si>
  <si>
    <t>901.126.715-8</t>
  </si>
  <si>
    <t>2023-029</t>
  </si>
  <si>
    <t>JOSEPH KALHID LUNA TORO</t>
  </si>
  <si>
    <t>2023-030</t>
  </si>
  <si>
    <t xml:space="preserve">SUPERMERCADO RUEDA                      </t>
  </si>
  <si>
    <t>5.595.870-2</t>
  </si>
  <si>
    <t>2023-031</t>
  </si>
  <si>
    <t xml:space="preserve">MARIA MONICA DE LOURDES FERRO BAHAMON                    </t>
  </si>
  <si>
    <t>2023-032</t>
  </si>
  <si>
    <t>KAREN DAYANNA SERRANO MONSALVE</t>
  </si>
  <si>
    <t>2023-033</t>
  </si>
  <si>
    <t>2023-034</t>
  </si>
  <si>
    <t xml:space="preserve">MARLY STEFANY FERNÁNDEZ CLAVIJO                  </t>
  </si>
  <si>
    <t xml:space="preserve">YULIETH MARITZA RUEDA GÓMEZ                  </t>
  </si>
  <si>
    <t>2023-035</t>
  </si>
  <si>
    <t>COMPUTER COLOR --JAVIER TORRES MÁRQUEZ</t>
  </si>
  <si>
    <t>2023-036</t>
  </si>
  <si>
    <t>2023-037</t>
  </si>
  <si>
    <t xml:space="preserve">NOHEMA RUEDA MARQUEZ </t>
  </si>
  <si>
    <t>2023-038</t>
  </si>
  <si>
    <t>JORGE ARTURO DUARTE PRADA</t>
  </si>
  <si>
    <t>2023-039</t>
  </si>
  <si>
    <t>CESAR ALBERTO GÓMEZ OREJARENA</t>
  </si>
  <si>
    <t>N/A</t>
  </si>
  <si>
    <t>2023-040</t>
  </si>
  <si>
    <t xml:space="preserve">ÓPTICA VISIÓN COLOMBIANA                      </t>
  </si>
  <si>
    <t>901.534.874-0</t>
  </si>
  <si>
    <t>2023-041</t>
  </si>
  <si>
    <t xml:space="preserve">NANCY ESTHER RODRÍGUEZ MÁRQUEZ    </t>
  </si>
  <si>
    <t>2023-042</t>
  </si>
  <si>
    <t>2023-043</t>
  </si>
  <si>
    <t>2023-044</t>
  </si>
  <si>
    <t>2023-045</t>
  </si>
  <si>
    <t>ALVARO SUAREZ GARRIDO</t>
  </si>
  <si>
    <t>2023-046</t>
  </si>
  <si>
    <t>ADRIANA ARGUELLO DIAZ</t>
  </si>
  <si>
    <t>S</t>
  </si>
  <si>
    <t>ENERO</t>
  </si>
  <si>
    <t>FEBRERO</t>
  </si>
  <si>
    <t>MARZO</t>
  </si>
  <si>
    <t>ABRIL</t>
  </si>
  <si>
    <t>MAYO</t>
  </si>
  <si>
    <t>JUNIO</t>
  </si>
  <si>
    <t>JULIO</t>
  </si>
  <si>
    <t>AGOSTO</t>
  </si>
  <si>
    <t>SEPTIEMBRE</t>
  </si>
  <si>
    <t>OCTUBRE</t>
  </si>
  <si>
    <t>NOVIEMBRE</t>
  </si>
  <si>
    <t>DICIEMBRE</t>
  </si>
  <si>
    <t>TOTAL EJECUTADO</t>
  </si>
  <si>
    <t>EJECUCIÓN</t>
  </si>
  <si>
    <t>PAGOS</t>
  </si>
  <si>
    <t>TOTAL PAGOS</t>
  </si>
  <si>
    <t>%</t>
  </si>
  <si>
    <t>EJC</t>
  </si>
  <si>
    <t xml:space="preserve">STELLA PLATA ASCENCIO (MARIA CAMILA ORTIZ CARRILLO)                </t>
  </si>
  <si>
    <t>2024-005</t>
  </si>
  <si>
    <t>2024-004</t>
  </si>
  <si>
    <t>2024-003</t>
  </si>
  <si>
    <t>2024-002</t>
  </si>
  <si>
    <t>2024-001</t>
  </si>
  <si>
    <t>2024-006</t>
  </si>
  <si>
    <t>PRESTAR LOS SERVICIOS PERSONALES DE APOYO A LA GESTIÓN ADMINISTRATIVA DE LA EMPRESA SOCIAL DEL ESTADO E.S.E. HOSPITAL SAN JUAN DE DIOS BETULIA</t>
  </si>
  <si>
    <t>24-00017</t>
  </si>
  <si>
    <t>24-00033</t>
  </si>
  <si>
    <t>2024-007</t>
  </si>
  <si>
    <t>ANDREA GOMEZ RODRIGUEZ</t>
  </si>
  <si>
    <t>PRESTAR LOS SERVICIOS PERSONALES DE APOYO PARA EL PROCESO DE AGENDAMIENTO DEL PLAN NACIONAL DE VACUNACIÓN EN SUS DIFERENTES MODALIDADES EN LA E.S.E. HOSPITAL SAN JUAN DE DIOS DE BETULIA Y EL MANEJO DE LAS BASES DE DATOS PARA LOS DIFERENTES REPORTES DE INFORMACIÓN DE LOS PROGRAMAS DE PROMOCIÓN Y PREVENCIÓN DE ACUERDO A LOS LINEAMIENTOS DEL MINISTERIO DE SALUD Y PROTECCIÓN SOCIAL</t>
  </si>
  <si>
    <t>24-00018</t>
  </si>
  <si>
    <t>24-00034</t>
  </si>
  <si>
    <t>2024-008</t>
  </si>
  <si>
    <t>PRESTAR LOS SERVICIOS PERSONALES DE APOYO PARA EL PROCESO DE AGENDAMIENTO DEL SERVICIO DE CONSULTA EXTERNA Y APOYO EN EL MANEJO Y COORDINACIÓN DEL SISTEMA INTEGRADO DE ATENCIÓN AL USUARIO – SIAU DE LA E.S.E. HOSPITAL SAN JUAN DE DIOS DE BETULIA</t>
  </si>
  <si>
    <t>24-00019</t>
  </si>
  <si>
    <t>24-00035</t>
  </si>
  <si>
    <t>2024-009</t>
  </si>
  <si>
    <t>PRESTAR SERVICIOS PERSONALES Y EN SU CONDICIÓN DE REGENTE DE FARMACIA, REALIZANDO LAS ACTIVIDADES ACORDADAS CON EL CONTRATISTA RELACIONADAS CON EL DIRECCIONAMIENTO DE LAS ACTIVIDADES Y PROCESOS DE LA DEPENDENCIA DE FARMACIA ENCAMINADOS AL CUMPLIMIENTO DE LOS SISTEMAS DE GESTIÓN DE CALIDAD Y LOS REQUISITOS LEGALES</t>
  </si>
  <si>
    <t>24-00020</t>
  </si>
  <si>
    <t>24-00036</t>
  </si>
  <si>
    <t>2024-010</t>
  </si>
  <si>
    <t>24-00021</t>
  </si>
  <si>
    <t>24-00037</t>
  </si>
  <si>
    <t>2024-011</t>
  </si>
  <si>
    <t>PRESTAR LOS SERVICIOS DE APOYO A LA GESTIÓN COMO AUXILIAR DE ENFERMERÍA Y ADMINISTRATIVO DE FACTURACIÓN Y SU RESPECTIVA COORDINACIÓN EN LA EMPRESA SOCIAL DEL ESTADO E.S.E. HOSPITAL SAN JUAN DE DIOS BETULIA</t>
  </si>
  <si>
    <t>24-00022</t>
  </si>
  <si>
    <t>24-00038</t>
  </si>
  <si>
    <t>2024-012</t>
  </si>
  <si>
    <t>24-00023</t>
  </si>
  <si>
    <t>24-00039</t>
  </si>
  <si>
    <t>2024-013</t>
  </si>
  <si>
    <t>VALOR TOTAL</t>
  </si>
  <si>
    <t xml:space="preserve">VALOR MENSUAL </t>
  </si>
  <si>
    <t>2024-014</t>
  </si>
  <si>
    <t>24-00025</t>
  </si>
  <si>
    <t>24-00041</t>
  </si>
  <si>
    <t>2024-015</t>
  </si>
  <si>
    <t>24-00026</t>
  </si>
  <si>
    <t>24-00042</t>
  </si>
  <si>
    <t>2024-016</t>
  </si>
  <si>
    <t>SANDRA MILENA MARTINEZ MURILLO</t>
  </si>
  <si>
    <t>2024-017</t>
  </si>
  <si>
    <t>KAREN JULIETH VILLABONA RIOS</t>
  </si>
  <si>
    <t>PRESTAR LOS SERVICIOS PERSONALES DE APOYO PARA EL PROCESO DE AGENDAMIENTO DEL SERVICIO DE CONSULTA EXTERNA Y APOYO EN EL MANEJO DEL SISTEMA INTEGRADO DE ATENCIÓN AL USUARIO – SIAU DE LA E.S.E. HOSPITAL SAN JUAN DE DIOS DE BETULIA – PUESTO DE SALUD TIENDA NUEVA</t>
  </si>
  <si>
    <t>2024-018</t>
  </si>
  <si>
    <t>CONTRATO DE PRESTACION DE SERVICIOS PROFESIONALES DE APOYO A LA GESTION COMO ASESOR CONTABLE Y FINANCIERO DE LA EMPRESA SOCIAL DEL ESTADO E.S.E. HOSPITAL SAN JUAN DE DIOS BETULIA EN LOS PROCESOS DE LAS ÁREAS DE PRESUPUESTO, NÓMINA, CONTABILIDAD, ARCHIVO Y ALMACÉN</t>
  </si>
  <si>
    <t>2024-019</t>
  </si>
  <si>
    <t>CONTRATO DE PRESTACION DE SERVICIOS PROFESIONALES DE APOYO A LA GESTION COMO ASESOR CONTABLE Y FINANCIERO DE LA EMPRESA SOCIAL DEL ESTADO E.S.E. HOSPITAL SAN JUAN DE DIOS BETULIA</t>
  </si>
  <si>
    <t>2024-020</t>
  </si>
  <si>
    <t>24-00030</t>
  </si>
  <si>
    <t>24-00046</t>
  </si>
  <si>
    <t>PRESTAR LOS SERVICIOS PERSONALES DE CARÁCTER TEMPORAL COMO APOYO A LA GERENCIA Y A LA SUBDIRECCIÓN ADMINISTRATIVA DE LA E.S.E. HOSPITAL SAN JUAN DE DIOS DEL MUNICIPIO DE BETULIA</t>
  </si>
  <si>
    <t>24-00031</t>
  </si>
  <si>
    <t>24-00047</t>
  </si>
  <si>
    <t>2024-021</t>
  </si>
  <si>
    <t>24-00032</t>
  </si>
  <si>
    <t>24-00048</t>
  </si>
  <si>
    <t>2024-022</t>
  </si>
  <si>
    <t>KIMBERLY XIOMARA RIVERA SEPULVEDA</t>
  </si>
  <si>
    <t>24-00049</t>
  </si>
  <si>
    <t>2024-023</t>
  </si>
  <si>
    <t>TAS INTEGRAL SAS</t>
  </si>
  <si>
    <t>24-00050</t>
  </si>
  <si>
    <t>2024-024</t>
  </si>
  <si>
    <t>24-00051</t>
  </si>
  <si>
    <t>2024-025</t>
  </si>
  <si>
    <t>DESCONT SA E.S.P</t>
  </si>
  <si>
    <t>24-00052</t>
  </si>
  <si>
    <t>2024-026</t>
  </si>
  <si>
    <t>LUZ AYDA MARTINEZ RINCON</t>
  </si>
  <si>
    <t>24-00053</t>
  </si>
  <si>
    <t>2024-027</t>
  </si>
  <si>
    <t xml:space="preserve">E.D.S. BRISAS DEL EDEN ZAPATOCA S.A.S.                      </t>
  </si>
  <si>
    <t>2024-028</t>
  </si>
  <si>
    <t>SUPERMERCADO RUEDA</t>
  </si>
  <si>
    <t>SUMINISTRO DE MATERIALES DE ASEO, LAVANDERIA, PAPELERIA Y OTROS INSUMOS, PARA LA SEDE LA E.S.E HOSPITAL SAN JUAN DE DIOS DEL MUNICIPIO DE BETULIA (SANTANDER), INLCUYE MATERIALES Y SUMINISTROS PARA EL DESARROLLO DE ACTIVIDADES DE SALUD PÚBLICA, PROMOCIÓN Y PRERVENCIÓN; Y SUMINISTRO DE PRODUCTOS PARA ELABORAR LA ALIMENTACIÓN (DESAYUNO, REFRIGERIO, HIDRATACIÓN Y ALMUERZO) PARA EL PERSONAL QUE DESARROLLA LAS OCHO (08) BRIGADAS DE SALUD DE LA VIGENCIA 2024, EN EL MARCO DE LA EJECUCIÓN DEL CONVENIO No. 33/2001 DE 2023, CELEBRADO ENTRE ISAGEN S.A. E.S.P. Y LA ESE HOSPITAL SAN JUAN DE DIOS DE BETULIA</t>
  </si>
  <si>
    <t>24-00055</t>
  </si>
  <si>
    <t>CONTRATOS 2024</t>
  </si>
  <si>
    <t>SUMINISTRO PERIÓDICO Y CONTINUO, DE MEDICAMENTOS ESENCIALES Y/O COMERCIALES DE ACUERDO A LO ESTABLECIDO PARA SU PROVISIÓN, EN LA LEY 1438 DE 2011 Y EL ACUERDO 29 DE DICIEMBRE 28 DE 2011, RESOLUCION 2808 DE 2022 PARA EL SERVICIO DE FARMACIA DE LA ESE HOSPITAL SAN JUAN DE DIOS DE BETULIA</t>
  </si>
  <si>
    <t>SUMINISTRO PERIÓDICO O CONTINUO, DE MATERIAL MEDICO QUIRURGICO PARA LA ESE HOSPITAL SAN JUAN DE DIOS DE BETULIA SEGUN LAS CONDICIONES ESTABLECIDAS PARA SU PROVISIÓN, EN EL ACUERDO 29 DE 2012 Y LA RESOLUCIÓN 5521 DEL 27 DE DICIEMBRE DE 2013, RESOLUCIÓN 5926 DE 2014 RESOLUCIÓN 5592 DE 2015, LEY 1438 DE 2011</t>
  </si>
  <si>
    <t>05/01/024</t>
  </si>
  <si>
    <t>24-00016</t>
  </si>
  <si>
    <t>24-00024</t>
  </si>
  <si>
    <t>24-00040</t>
  </si>
  <si>
    <t>24-00027</t>
  </si>
  <si>
    <t>24-00043</t>
  </si>
  <si>
    <t>24-00028</t>
  </si>
  <si>
    <t>24-00044</t>
  </si>
  <si>
    <t>24-00029</t>
  </si>
  <si>
    <t>24-00045</t>
  </si>
  <si>
    <t>24-00054</t>
  </si>
  <si>
    <t>24-00012</t>
  </si>
  <si>
    <t>24-00013</t>
  </si>
  <si>
    <t>24-00014</t>
  </si>
  <si>
    <t>24-00015</t>
  </si>
  <si>
    <t xml:space="preserve">2024-029 </t>
  </si>
  <si>
    <t xml:space="preserve">DIAGNÓSTICA INTERNACIONAL S.A.S.                      </t>
  </si>
  <si>
    <t>901.622.787-5</t>
  </si>
  <si>
    <t>ADQUISICION DE ELEMENTOS Y EQUIPOS BIOMÉDICOS PARA EL FORTALECIMIENTO DE LA CAPACIDAD OPERATIVA Y LA ÓPTIMA ATENCIÓN DE USUARIOS DE LA E.S.E. HOSPITAL SAN JUAN DE DIOS DE BETULIA</t>
  </si>
  <si>
    <t>24-00059</t>
  </si>
  <si>
    <t>2024-030</t>
  </si>
  <si>
    <t>APOYO A LA GESTION PARA EL DESARROLLO DE ACTIVIDADES DE MANTENIMIENTO PREVENTIVO Y CORRECTIVO DE EQUIPOS BIOMEDICOS EN LA SEDE Y EL PUESTO DE SALUD DE TIENDA NUEVA DE LA EMPRESA SOCIAL DEL ESTADO E.S.E. HOSPITAL SAN JUAN DE DIOS BETULIA</t>
  </si>
  <si>
    <t>2024-031</t>
  </si>
  <si>
    <t>JOSEPH  KALHID LUNA TORO</t>
  </si>
  <si>
    <t>APOYO A LA GESTION COMO ASESOR DE CALIDAD DE LA EMPRESA SOCIAL DEL ESTADO E.S.E. HOSPITAL SAN JUAN DE DIOS BETULIA</t>
  </si>
  <si>
    <t>2024-032</t>
  </si>
  <si>
    <t>PATRICIA ALEJANDRA AREVALO JACOME</t>
  </si>
  <si>
    <t>APOYO A LA GESTION Y RECUPERACIÓN DE CARTERA DE LA ESE HOSPITAL SAN JUAN DE DIOS DE BETULIA – SANTANDER</t>
  </si>
  <si>
    <t>2024-033</t>
  </si>
  <si>
    <t xml:space="preserve">ALVARO SUAREZ GARRIDO </t>
  </si>
  <si>
    <t>PRESTAR LOS SERVICIOS PROFESIONALES COMO FISIOTERAPEUTA PARA EL APOYO EN LAS ACTIVIDADES DE TERAPIA FÍSICA PARA LA ESE HOSPITAL SAN JUAN DE DIOS BETULIA</t>
  </si>
  <si>
    <t>2024-034</t>
  </si>
  <si>
    <t>LUIS GONZALO SERRANO DIAZ</t>
  </si>
  <si>
    <t>2024-035</t>
  </si>
  <si>
    <t>YULIETH MARITZA RUEDA GOMEZ</t>
  </si>
  <si>
    <t>PRESTAR LOS SERVICIOS PROFESIONALES COMO PSICOLOGA DE LA ESE HOSPITAL SAN JUAN DE DIOS BETULIA</t>
  </si>
  <si>
    <t>24-00062</t>
  </si>
  <si>
    <t>24-00102</t>
  </si>
  <si>
    <t>24-00067</t>
  </si>
  <si>
    <t>24-00106</t>
  </si>
  <si>
    <t>24-00070</t>
  </si>
  <si>
    <t>24-00063</t>
  </si>
  <si>
    <t>24-00103</t>
  </si>
  <si>
    <t>24-00064</t>
  </si>
  <si>
    <t>24-00104</t>
  </si>
  <si>
    <t>24-00105</t>
  </si>
  <si>
    <t>24-00114</t>
  </si>
  <si>
    <t>2024-036</t>
  </si>
  <si>
    <t>2024-037</t>
  </si>
  <si>
    <t>2024-038</t>
  </si>
  <si>
    <t xml:space="preserve">LADY ROCIO ECHEVERRIA CARDENAS    </t>
  </si>
  <si>
    <t>PRESTAR LOS SERVICIOS DE MANTENIMIENTO PREVENTIVO Y CORRECTIVO PARA LA PLANTA ELÉCTRICA MARCA KIPOR MODELO KDE12STAF3 DE PROPIEDAD DE LA EMPRESA SOCIAL DEL ESTADO E.S.E. HOSPITAL SAN JUAN DE DIOS BETULIA</t>
  </si>
  <si>
    <t>2024-039</t>
  </si>
  <si>
    <t>63.547.564-1</t>
  </si>
  <si>
    <t>PRESTAR SERVICIOS DE ATENCION DE CONSULTA DE OPTOMETRIA, FORMULACIÓN Y SUMINISTRO DE LENTES Y/O GAFAS PARA PACIENTES CON DIAGNOSTICOS MONOFOCALES O BIFOCALES, POR ATENDER DURANTE OCHO (08) BRIGADAS DE SALUD DE LA VIGENCIA 2024, EN EL MARCO DE LA EJECUCIÓN DEL CONVENIO No. 33/2001, CELEBRADO ENTRE ISAGEN S.A. E.S.P. Y LA ESE HOSPITAL SAN JUAN DE DIOS DE BETULIA</t>
  </si>
  <si>
    <t>2024-040</t>
  </si>
  <si>
    <t>NANCY ESTHER RODRIGUEZ MARQUEZ</t>
  </si>
  <si>
    <t>PRESTAR LOS SERVICIOS DE APOYO EN LOGISTICA PARA LA EJECUCION DE ACTIVIDADES DE BRIGADAS DE SALUD A REALIZAR EN EL MARCO DEL CONVENIO No. 33/2001 CELEBRADO ENTRE ISAGEN S.A. E.S.P. Y LA E.S.E. HOSPITAL SAN JUAN DE DIOS DE BETULIA, PARA LA VIGENCIA 2024 Y TRASLADO DE BIOLÓGICOS DEL PLAN AMPLIADO DE INMUNIZACIONES – PAI</t>
  </si>
  <si>
    <t xml:space="preserve">2024-041 </t>
  </si>
  <si>
    <t>NELCY CATALINA SERRANO CHAVES</t>
  </si>
  <si>
    <t>PRESTAR SERVICIOS PROFESIONALES DE APOYO A LA GESTIÓN PARA LA ELABORACIÓN, REPRODUCCIÓN Y MASIFICACIÓN DE MATERIAL DE APOYO EN FORMATO FÍSICO, DIGITAL Y/O AUDIOVISUAL PARA LOS DIFERENTES PROGRAMAS DE LA EMPRESA SOCIAL DEL ESTADO HOSPITAL SAN JUAN DE DIOS DE BETULIA</t>
  </si>
  <si>
    <t>24-00089</t>
  </si>
  <si>
    <t>24-00150</t>
  </si>
  <si>
    <t>24-00094</t>
  </si>
  <si>
    <t>24-00152</t>
  </si>
  <si>
    <t>24-00090</t>
  </si>
  <si>
    <t>24-00151</t>
  </si>
  <si>
    <t>24-00107</t>
  </si>
  <si>
    <t>24-00158</t>
  </si>
  <si>
    <t>24-00157</t>
  </si>
  <si>
    <t>24-00095</t>
  </si>
  <si>
    <t>24-00153</t>
  </si>
  <si>
    <t>2024-042</t>
  </si>
  <si>
    <t>JOSE DAVID FORERO GÓMEZ</t>
  </si>
  <si>
    <t>2024-043</t>
  </si>
  <si>
    <t>ASOCIACIÓN DE RADIO BETULIANA STEREO</t>
  </si>
  <si>
    <t>804.003.866-1</t>
  </si>
  <si>
    <t>PRESTAR LOS SERVICIOS PARA LA PRODUCCIÓN, TRANSMISIÓN Y DIFUSIÓN DE MENSAJES RADIALES INSTITUCIONALES, DE RENDICIÓN DE CUENTAS E INFORMACIÓN DE LOS LOGROS Y ACTIVIADES DE LA EMPRESA SOCIAL DEL ESTADO HOSPITAL SAN JUAN DE DIOS DE BETULIA</t>
  </si>
  <si>
    <t>2024-044</t>
  </si>
  <si>
    <t xml:space="preserve">CAROLINA PINZÓN RUEDA                    </t>
  </si>
  <si>
    <t>PRESTAR LOS SERVICIOS PERSONALES DE APOYO A LA COORDINACIÓN EN LA EJECUCIÓN DE LAS ACTIVIDADES DEL PLAN DE INTERVENCIONES COLECTIVAS – PIC – SEGÚN CONTRATO INTERADMINISTRATIVO No. 001 DE 2024 SUSCRITO ENTRE EL MUNICIPIO DE ZAPATOCA Y LA ESE HOSPITAL SAN JUAN DE DIOS BETULIA</t>
  </si>
  <si>
    <t>2024-045</t>
  </si>
  <si>
    <t>YULI TATIANA SANABRIA PRADA</t>
  </si>
  <si>
    <t>PRESTAR LOS SERVICIOS PROFESIONALES EN PSICOLOGÍA PARA LA IMPLEMENTACIÓN DE LOS DIFERENTES COMPONENTES, ESTRATEGIAS Y DIMENSIONES DEL PLAN DE INTERVENCIONES COLECTIVAS – PIC – EN LOS MUNICIPIOS DE BETULIA Y ZAPATOCA DE CONFORMIDAD CON LOS CONTRATOS INTERADMINISTRATIVOS No. 091 DE 2024 Y No. 001 DE 2024, SUSCRITOS POR LOS MUNICIPIOS DE BETULIA Y ZAPATOCA, CON LA EMPRESA SOCIAL DEL ESTADO HOSPITAL SAN JUAN DE DIOS DE BETULIA RESPECTIVAMENTE</t>
  </si>
  <si>
    <t>24-00147</t>
  </si>
  <si>
    <t>24-00222</t>
  </si>
  <si>
    <t>24-00144</t>
  </si>
  <si>
    <t>24-00211</t>
  </si>
  <si>
    <t>24-00129</t>
  </si>
  <si>
    <t>24-00210</t>
  </si>
  <si>
    <t>24-00128</t>
  </si>
  <si>
    <t>24-00205</t>
  </si>
  <si>
    <t>2024-046</t>
  </si>
  <si>
    <t>SUMINISTRO DE MATERIALES, PAPELERIA Y OTROS INSUMOS, PARA EL DESARROLLO DE LAS ACTIVIDADES DEL PLAN DE INTERVENCIONES COLECTIVAS – PIC, SEGÚN CONTRATO INTERADMINISTRATIVO No. 001-2024 SUSCRITO ENTRE EL MUNICIPIO DE ZAPATOCA Y LA ESE HOSPITAL SAN JUAN DE DIOS DE BETULIA</t>
  </si>
  <si>
    <t>2024-047</t>
  </si>
  <si>
    <t>PRESTAR LOS SERVICIOS PROFESIONALES COMO ENFERMERA JEFE PARA LA COORDINACIÓN EN LA EJECUCIÓN DE LAS ACTIVIDADES DEL PLAN DE INTERVENCIONES COLECTIVAS – PIC – EN LOS MUNICIPIOS DE BETULIA Y ZAPATOCA DE CONFORMIDAD CON LOS CONTRATOS INTERADMINISTRATIVOS No. 091 DE 2024 Y No. 001 DE 2024, SUSCRITOS POR LOS MUNICIPIOS DE BETULIA Y ZAPATOCA, CON LA EMPRESA SOCIAL DEL ESTADO HOSPITAL SAN JUAN DE DIOS DE BETULIA RESPECTIVAMENTE</t>
  </si>
  <si>
    <t>2024-048</t>
  </si>
  <si>
    <t>2024-049</t>
  </si>
  <si>
    <t xml:space="preserve">MARIA CAMILA ORTIZ CARRILLO </t>
  </si>
  <si>
    <t>PRESTAR LOS SERVICIOS PERSONALES DE APOYO A LA COORDINACIÓN EN LA EJECUCIÓN DE LAS ACTIVIDADES DEL PLAN DE INTERVENCIONES COLECTIVAS – PIC – SEGÚN CONTRATO INTERADMINISTRATIVO No. 091 DE 2024 SUSCRITO ENTRE EL MUNICIPIO DE BETULIA Y LA ESE HOSPITAL SAN JUAN DE DIOS BETULIA</t>
  </si>
  <si>
    <t>2024-050</t>
  </si>
  <si>
    <t xml:space="preserve">LEIDY YASMÍN MUÑOZ MARTINEZ                    </t>
  </si>
  <si>
    <t>24-00148</t>
  </si>
  <si>
    <t>24-00253</t>
  </si>
  <si>
    <t>24-00254</t>
  </si>
  <si>
    <t>24-00145</t>
  </si>
  <si>
    <t>24-00166</t>
  </si>
  <si>
    <t>24-00256</t>
  </si>
  <si>
    <t>24-00184</t>
  </si>
  <si>
    <t>24-00257</t>
  </si>
  <si>
    <t>24-00185</t>
  </si>
  <si>
    <t>24-00258</t>
  </si>
  <si>
    <t>2024-051</t>
  </si>
  <si>
    <t>FELIX EDUARDO PLATA SARMIENTO</t>
  </si>
  <si>
    <t>SUMINISTRO DE MATERIALES, ELEMENTOS E INSUMOS DE FERRETERÍA PARA EL MANTENIMIENTO DE LA INFRAESTRUCTURA FÍSICA DE LA ESE HOSPITAL SAN JUAN DE DIOS DE BETULIA</t>
  </si>
  <si>
    <t xml:space="preserve">1.098.654.458 </t>
  </si>
  <si>
    <t>PRESTACION DE SERVICIOS PROFESIONALES DE ASESORÍA EN SANEAMIENTO EN MATERIA PENSIONAL, Y ACTUALIZACION A LA PLATAFORMA PROYECTO PASIVOCOL CON FECHA CORTE A 31 DE DICIEMBRE DE 2023 PASIVOCOL DE LA ESE HOSPITAL SAN JUAN DE DIOS DEL MUNICIPIO DE BETULIA - SANTANDER</t>
  </si>
  <si>
    <t>2024-052</t>
  </si>
  <si>
    <t>2024-053</t>
  </si>
  <si>
    <t>ANGELA NAVARRO MEDINA</t>
  </si>
  <si>
    <t>32.555.748</t>
  </si>
  <si>
    <t>2024-054</t>
  </si>
  <si>
    <t>2024-055</t>
  </si>
  <si>
    <t>2024-056</t>
  </si>
  <si>
    <t xml:space="preserve">LAURA GALVIS ACACIO </t>
  </si>
  <si>
    <t>1.005.384.566</t>
  </si>
  <si>
    <t>PRESTAR LOS SERVICIOS DE APOYO A LA SUBDIRECCIÓN ADMINISTRATIVA PARA EL ALISTAMIENTO DOCUMENTAL DE LOS PROCESOS INHERENTES A LOS EQUIPOS BÁSICOS EN SALUD DE LOS MUNICIPIO DE BETULIA Y ZAPATOCA, SEGÚN RESOLUCIÓN No. 1212 DE 2024 PARA LA E.S.E. HOSPITAL SAN JUAN DE DIOS DEL MUNICIPIO DE BETULIA</t>
  </si>
  <si>
    <t>24-00244</t>
  </si>
  <si>
    <t>24-00359</t>
  </si>
  <si>
    <t>COHOSAN LABORATORIO</t>
  </si>
  <si>
    <t>SUMINISTRO PERIÓDICO O CONTINUO, DE MATERIAL DE LABORATORIO PARA LA ESE HOSPITAL SAN JUAN DE DIOS DE BETULIA   SEGUN LAS CONDICIONES ESTABLECIDAS PARA SU PROVISIÓN, EN EL ACUERDO 29 DE 2012 Y LA RESOLUCIÓN 5521 DEL 27 DE DICIEMBRE DE 2013, RESOLUCIÓN 5926 DE 2014 RESOLUCIÓN 5592 DE 2015, LEY 1438 DE 2011</t>
  </si>
  <si>
    <t>24-00245</t>
  </si>
  <si>
    <t>24-000360</t>
  </si>
  <si>
    <t>24-00224</t>
  </si>
  <si>
    <t>24-00353</t>
  </si>
  <si>
    <t>24-00223</t>
  </si>
  <si>
    <t>24-00352</t>
  </si>
  <si>
    <t>24-00351</t>
  </si>
  <si>
    <t>2024-057</t>
  </si>
  <si>
    <t>2024-58</t>
  </si>
  <si>
    <t>2024-059</t>
  </si>
  <si>
    <t>PRESTAR LOS SERVICIOS PROFESIONALES COMO ENFERMERA JEFE PARA LA COORDINACIÓN EN LA EJECUCIÓN DE LAS ACTIVIDADES DEL PLAN DE INTERVENCIONES COLECTIVAS – PIC – EN EL MUNICIPIO DE BETULIA SANTANDER DE CONFORMIDAD CON EL CONTRATO INTERADMINISTRATIVO No. 173 DE 2024 SUSCRITO ENTRE EL MUNICIPIO DE BETULIA Y LA E.S.E. HOSPITAL SAN JUAN DE DIOS DE BETULIA</t>
  </si>
  <si>
    <t>PRESTAR LOS SERVICIOS PROFESIONALES EN PSICOLOGÍA PARA LA IMPLEMENTACIÓN DE LOS DIFERENTES COMPONENTES, ESTRATEGIAS Y DIMENSIONES DEL PLAN DE INTERVENCIONES COLECTIVAS – PIC - EN EL MUNICIPIO DE BETULIA SANTANDER DE CONFORMIDAD CON EL CONTRATO INTERADMINISTRATIVO No. 173 DE 2024 SUSCRITO ENTRE EL MUNICIPIO DE BETULIA Y LA E.S.E. HOSPITAL SAN JUAN DE DIOS DE BETULIA</t>
  </si>
  <si>
    <t>24-00251</t>
  </si>
  <si>
    <t>24-00392</t>
  </si>
  <si>
    <t>24-00272</t>
  </si>
  <si>
    <t>24-00401</t>
  </si>
  <si>
    <t>24-00271</t>
  </si>
  <si>
    <t>24-00411</t>
  </si>
  <si>
    <t>2024-060</t>
  </si>
  <si>
    <t>2024-061</t>
  </si>
  <si>
    <t>NATALIA ANDREA RODRÍGUEZ REMOLINA</t>
  </si>
  <si>
    <t>SUMINISTRO DE ELEMENTOS DE PAPELERÍA Y MATERIAL PRE IMPRESO PARA LAS DIFERENTES ACTIVIDADES Y PROGRAMAS DEL PLAN DE INTERVENCIONES COLECTIVAS – PIC – EN EL MUNICIPIO DE ZAPATOCA DE CONFORMIDAD CON EL CONTRATO INTERADMINISTRATIVO No. 002 DE 2024 SUSCRITO ENTRE EL MUNICIPIO DE ZAPATOCA Y LA EMPRESA SOCIAL DEL ESTADO HOSPITAL SAN JUAN DE DIOS DE BETULIA</t>
  </si>
  <si>
    <t>24-00278</t>
  </si>
  <si>
    <t>24-00407</t>
  </si>
  <si>
    <t>2024-062</t>
  </si>
  <si>
    <t>SUMINISTRO DE MATERIALES, INSUMOS Y OTROS ELEMENTOS PARA EL NORMAL DESARROLLO DE LAS ACTIVIDADES DEL PLAN DE INTERVENCIONES COLECTIVAS – PIC EN EL MUNICIPIO DE ZAPATOCA, SEGÚN CONTRATO INTERADMINISTRATIVO No. 002-2024 SUSCRITO ENTRE EL MUNICIPIO DE ZAPATOCA Y LA E.S.E. HOSPITAL SAN JUAN DE DIOS DE BETULIA</t>
  </si>
  <si>
    <t>24-00277</t>
  </si>
  <si>
    <t>24-00406</t>
  </si>
  <si>
    <t>2024-063</t>
  </si>
  <si>
    <t>JUSTO JOSE PIMIENTO GÓMEZ</t>
  </si>
  <si>
    <t>13.516.073</t>
  </si>
  <si>
    <t>PRESTAR SERVICIOS DE APOYO PARA LA EMISIÓN, DIFUSIÓN Y PROMOCIÓN DE MENSAJES Y PROGRAMAS SEGÚN LAS ACTIVIDADES CONTEMPLADAS EN EL PLAN DE INTERVENCIONES COLECTIVAS – PIC, DEL MUNICIPIO DE ZAPATOCA DE CONFORMIDAD CON EL CONTRATO INTERADMINISTRATIVO No. 002 DE 2024 SUSCRITO ENTRE EL MUNICIPIO DE ZAPATOCA Y LA EMPRESA SOCIAL DEL ESTADO HOSPITAL SAN JUAN DE DIOS DE BETULIA</t>
  </si>
  <si>
    <t>24-00279</t>
  </si>
  <si>
    <t>24-00408</t>
  </si>
  <si>
    <t>2024-064</t>
  </si>
  <si>
    <t>YINA XIMENA VILLANOVA RUEDA</t>
  </si>
  <si>
    <t>1.102.549.446</t>
  </si>
  <si>
    <t>PRESTAR LOS SERVICIOS PROFESIONALES COMO PSICÓLOGA PARA LA COORDINACIÓN EN LA EJECUCIÓN DE LAS ACTIVIDADES DEL PLAN DE INTERVENCIONES COLECTIVAS – PIC – EN EL MUNICIPIO DE ZAPATOCA – SANTANDER DE CONFORMIDAD CON EL CONTRATO INTERADMINISTRATIVO No. 002 DE 2024 SUSCRITO ENTRE EL MUNICIPIO DE ZAPATOCA Y LA E.S.E. HOSPITAL SAN JUAN DE DIOS DE BETULIA</t>
  </si>
  <si>
    <t>24-00280</t>
  </si>
  <si>
    <t>24-00409</t>
  </si>
  <si>
    <t>2024-065</t>
  </si>
  <si>
    <t>LAURA NATALIA RUEDA CORREA</t>
  </si>
  <si>
    <t>1.005.297.262</t>
  </si>
  <si>
    <t>PRESTAR LOS SERVICIOS PROFESIONALES EN PSICOLOGÍA PARA LA IMPLEMENTACIÓN DE LOS DIFERENTES COMPONENTES, ESTRATEGIAS Y DIMENSIONES DEL PLAN DE INTERVENCIONES COLECTIVAS – PIC – EN EL MUNICIPIO DE ZAPATOCA DE CONFORMIDAD CON EL CONTRATO INTERADMINISTRATIVO No. 002 DE 2024 SUSCRITO ENTRE EL MUNICIPIO DE ZAPATOCA Y LA EMPRESA SOCIAL DEL ESTADO HOSPITAL SAN JUAN DE DIOS DE BETULIA</t>
  </si>
  <si>
    <t>24-00287</t>
  </si>
  <si>
    <t>24-00412</t>
  </si>
  <si>
    <t>2024-066</t>
  </si>
  <si>
    <t>2024-067</t>
  </si>
  <si>
    <t>PRESTAR LOS SERVICIOS PERSONALES DE CARÁCTER TEMPORAL COMO APOYO A LA GERENCIA DE LA E.S.E. HOSPITAL SAN JUAN DE DIOS DEL MUNICIPIO DE BETULIA</t>
  </si>
  <si>
    <t>2024-068</t>
  </si>
  <si>
    <t xml:space="preserve">1.098.665.102 </t>
  </si>
  <si>
    <t>PRESTAR LOS SERVICIOS PROFESIONALES COMO ODONTOLOGO DE LA ESE HOSPITAL SAN JUAN DE DIOS BETULIA</t>
  </si>
  <si>
    <t>FABIAN ANDRES GARCIA CEPEDA</t>
  </si>
  <si>
    <t>24-00298</t>
  </si>
  <si>
    <t>24-00450</t>
  </si>
  <si>
    <t>24-00299</t>
  </si>
  <si>
    <t>24-00454</t>
  </si>
  <si>
    <t>24-00321</t>
  </si>
  <si>
    <t>24-00462</t>
  </si>
  <si>
    <t>2024-069</t>
  </si>
  <si>
    <t>1.193.124.365</t>
  </si>
  <si>
    <t>“PRESTAR LOS SERVICIOS PERSONALES DE APOYO A LA COORDINACIÓN EN LA EJECUCIÓN DE LAS ACTIVIDADES DEL PLAN DE INTERVENCIONES COLECTIVAS – PIC (Contrato Interadministrativo No. 173 DE 2024 del Municipio de Betulia) Y APOYO EN LA EJECUCION DE ACTIVIDADES DE BRIGADAS DE SALUD (Convenio No. 33/2001 – de ISAGEN S.A. E.S.P.) CONTRATACIÓN QUE ACTUALMENTE EJECUTA LA E.S.E. HOSPITAL SAN JUAN DE DIOS BETULIA</t>
  </si>
  <si>
    <t>24-00324</t>
  </si>
  <si>
    <t>24-00464</t>
  </si>
  <si>
    <t>2024-070</t>
  </si>
  <si>
    <t>PAOLA MARCELA VALBUENA NOVOA</t>
  </si>
  <si>
    <t>PRESTAR LOS SERVICIOS PROFESIONALES COMO ENFERMERA JEFE PARA LA IMPLEMENTACIÓN DE UN CICLO DE EDUCACIÓN, COMUNICACIÓN PARA LA SALUD, INTERCAMBIO DE SABERES Y GENERACIÓN DE RESPUESTAS A MADRES, PADRES Y DOCENTES EN EL ENTORNO EDUCATIVO, ÁMBITO RURAL PARA SENSIBILIZAR SOBRE LA IMPORTANCIA DE LAS VACUNAS, EN LOS MUNICIPIOS PRIORIZADOS DE SANTANDER Y LA IMPLEMENTACIÓN DE UN CICLO EDUCATIVO PARA LA SALUD A MADRES, PADRES Y CUIDADORES EN LAS PRÁCTICAS CLAVES – AIEPI EN EL ENTORNO COMUNITARIO, ÁMBITO URBANO PARA LA IDENTIFICACIÓN DE CIUDADOS DE ENFERMEDADES PREVALENTES DE LA INFANCIA EN LOS MUNICIPIOS PRIORIZADOS DE SANTANDER, EN VIRTUD DE LOS CONTRATOS INTERADMINISTRATIVOS No. CO1.PCCNTR.6836478 Y CO1.PCCNTR.6842593 CELEBRADOS ENTRE EL DEPARTAMENTO DE SANTANDER Y LA ESE HOSPITAL SAN JUAN DE DIOS BETULIA</t>
  </si>
  <si>
    <t>2024-071</t>
  </si>
  <si>
    <t>MARIA ALEJANDRA RUEDA RUEDA</t>
  </si>
  <si>
    <t>PRESTAR LOS SERVICIOS PERSONALES DE APOYO A LA GESTIÓN PARA LA IMPLEMENTACIÓN DE UN CICLO DE EDUCACIÓN, COMUNICACIÓN PARA LA SALUD, INTERCAMBIO DE SABERES Y GENERACIÓN DE RESPUESTAS A MADRES, PADRES Y DOCENTES EN EL ENTORNO EDUCATIVO, ÁMBITO RURAL PARA SENSIBILIZAR SOBRE LA IMPORTANCIA DE LAS VACUNAS, EN LOS MUNICIPIOS PRIORIZADOS DE SANTANDER EN VIRTUD DEL CONTRATO INTERADMINISTRATIVO No. CO1.PCCNTR.6836478 CELEBRADO ENTRE EL DEPARTAMENTO DE SANTANDER Y LA E.S.E. HOSPITAL SAN JUAN DE DIOS BETULIA</t>
  </si>
  <si>
    <t>2024-072</t>
  </si>
  <si>
    <t>SONIA PAOLA FORERO NUÑEZ</t>
  </si>
  <si>
    <t>PRESTAR LOS SERVICIOS PERSONALES DE APOYO A LA GESTIÓN PARA LA IMPLEMENTACIÓN DE UN CICLO EDUCATIVO PARA LA SALUD A MADRES, PADRES Y CUIDADORES EN LAS PRÁCTICAS CLAVES – AIEPI EN EL ENTORNO COMUNITARIO, ÁMBITO URBANO PARA LA IDENTIFICACIÓN DE CIUDADOS DE ENFERMEDADES PREVALENTES DE LA INFANCIA EN LOS MUNICIPIOS PRIORIZADOS DE SANTANDER EN VIRTUD DEL CONTRATO INTERADMINISTRATIVO No. CO1.PCCNTR.6842593 CELEBRADO ENTRE EL DEPARTAMENTO DE SANTANDER Y LA E.S.E. HOSPITAL SAN JUAN DE DIOS BETULIA</t>
  </si>
  <si>
    <t>2024-073</t>
  </si>
  <si>
    <t xml:space="preserve">DIANA CAROLINA RIOS SALAMANCA                    </t>
  </si>
  <si>
    <t>PRESTAR LOS SERVICIOS PROFESIONALES EN EL MARCO DE LA EJECUCIÓN DE LAS ACTIVIDADES DEL PLAN DE INTERVENCIONES COLECTIVAS – PIC – EN EL MUNICIPIO DE ZAPATOCA – SANTANDER DE CONFORMIDAD CON EL CONTRATO INTERADMINISTRATIVO No. 002 DE 2024 SUSCRITO ENTRE EL MUNICIPIO DE ZAPATOCA Y LA E.S.E. HOSPITAL SAN JUAN DE DIOS DE BETULIA</t>
  </si>
  <si>
    <t>24-00356</t>
  </si>
  <si>
    <t>24-00522</t>
  </si>
  <si>
    <t>24-00357</t>
  </si>
  <si>
    <t>24-00523</t>
  </si>
  <si>
    <t>24-00370</t>
  </si>
  <si>
    <t>24-00532</t>
  </si>
  <si>
    <t>24-00364</t>
  </si>
  <si>
    <t>24-00531</t>
  </si>
  <si>
    <t>2024-074</t>
  </si>
  <si>
    <t>PRESTACIÓN DE SERVICIOS DE ANÁLISIS, DESARROLLO, AJUSTES, MANTENIMIENTO, DOCUMENTACIÓN, PRUEBAS, ACTUALIZACIONES DE REPORTES EN EL SISTEMA DE INFORMACIÓN, IMPLEMENTAR ACTIVOS FIJOS, CARTERA, DESARROLLO DE WEBSERVICE ENTRE MÓDULO DE CARTERA Y MODULO DE FACTURACIÓN Y ALOJAMIENTO EN LA NUBE DEL SISTEMA FINANCIERO PARA LA E.S.E. HOSPITAL SAN JUAN DE DIOS DE BETULIA</t>
  </si>
  <si>
    <t>2024-075</t>
  </si>
  <si>
    <t xml:space="preserve">INBIOMECS S.A.S.                                          </t>
  </si>
  <si>
    <t>ADQUISICION DE EQUIPO HOLTER EDAN SE-2003 PARA LA E.S.E. HOSPITAL SAN JUAN DE DIOS DE BETULIA</t>
  </si>
  <si>
    <t xml:space="preserve">COOPERATIVA INTEGRAL DE TRABAJO ASOCIADO LTDA              </t>
  </si>
  <si>
    <t>800.162.721-9</t>
  </si>
  <si>
    <t>24-00422</t>
  </si>
  <si>
    <t>24-00626</t>
  </si>
  <si>
    <t>24-00423</t>
  </si>
  <si>
    <t>24-00628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</si>
</sst>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_(&quot;$&quot;* \(#,##0.00\);_(&quot;$&quot;* &quot;-&quot;??_);_(@_)"/>
  </numFmts>
  <fonts count="36" x14ac:knownFonts="1">
    <font>
      <sz val="11"/>
      <color theme="1"/>
      <name val="Calibri"/>
      <family val="2"/>
      <scheme val="minor"/>
    </font>
    <font>
      <b/>
      <sz val="18"/>
      <color theme="1"/>
      <name val="Calibri"/>
      <family val="2"/>
      <scheme val="minor"/>
    </font>
    <font>
      <sz val="8"/>
      <color theme="1"/>
      <name val="Calibri"/>
      <family val="2"/>
      <scheme val="minor"/>
    </font>
    <font>
      <sz val="11"/>
      <name val="Calibri"/>
      <family val="2"/>
      <scheme val="minor"/>
    </font>
    <font>
      <sz val="10"/>
      <color theme="1"/>
      <name val="Verdana"/>
      <family val="2"/>
    </font>
    <font>
      <sz val="18"/>
      <color theme="1"/>
      <name val="Calibri"/>
      <family val="2"/>
      <scheme val="minor"/>
    </font>
    <font>
      <sz val="11"/>
      <color rgb="FF0070C0"/>
      <name val="Calibri"/>
      <family val="2"/>
      <scheme val="minor"/>
    </font>
    <font>
      <b/>
      <sz val="11"/>
      <name val="Calibri"/>
      <family val="2"/>
      <scheme val="minor"/>
    </font>
    <font>
      <b/>
      <sz val="10"/>
      <name val="Calibri"/>
      <family val="2"/>
      <scheme val="minor"/>
    </font>
    <font>
      <sz val="18"/>
      <name val="Calibri"/>
      <family val="2"/>
      <scheme val="minor"/>
    </font>
    <font>
      <sz val="8"/>
      <color theme="1"/>
      <name val="Arial Narrow"/>
      <family val="2"/>
    </font>
    <font>
      <sz val="8"/>
      <color rgb="FFFF0000"/>
      <name val="Calibri"/>
      <family val="2"/>
      <scheme val="minor"/>
    </font>
    <font>
      <sz val="9"/>
      <color rgb="FF000000"/>
      <name val="Arial"/>
      <family val="2"/>
    </font>
    <font>
      <sz val="12"/>
      <color theme="1"/>
      <name val="Calibri"/>
      <family val="2"/>
      <scheme val="minor"/>
    </font>
    <font>
      <sz val="12"/>
      <name val="Calibri"/>
      <family val="2"/>
      <scheme val="minor"/>
    </font>
    <font>
      <sz val="10"/>
      <color theme="1"/>
      <name val="Calibri"/>
      <family val="2"/>
      <scheme val="minor"/>
    </font>
    <font>
      <sz val="10"/>
      <color theme="1"/>
      <name val="Arial Narrow"/>
      <family val="2"/>
    </font>
    <font>
      <sz val="9"/>
      <color theme="1"/>
      <name val="Calibri"/>
      <family val="2"/>
      <scheme val="minor"/>
    </font>
    <font>
      <sz val="11"/>
      <color theme="1"/>
      <name val="Arial Narrow"/>
      <family val="2"/>
    </font>
    <font>
      <sz val="11"/>
      <color theme="1"/>
      <name val="Arial"/>
      <family val="2"/>
    </font>
    <font>
      <sz val="10"/>
      <color theme="1"/>
      <name val="Arial"/>
      <family val="2"/>
    </font>
    <font>
      <sz val="11"/>
      <color theme="1"/>
      <name val="Calibri"/>
      <family val="2"/>
      <scheme val="minor"/>
    </font>
    <font>
      <sz val="8"/>
      <color theme="1"/>
      <name val="Arial"/>
      <family val="2"/>
    </font>
    <font>
      <sz val="12"/>
      <color theme="1"/>
      <name val="Arial Narrow"/>
      <family val="2"/>
    </font>
    <font>
      <sz val="11.5"/>
      <color theme="1"/>
      <name val="Arial Narrow"/>
      <family val="2"/>
    </font>
    <font>
      <sz val="12"/>
      <color theme="1"/>
      <name val="Arial"/>
      <family val="2"/>
    </font>
    <font>
      <b/>
      <sz val="11"/>
      <color theme="1"/>
      <name val="Calibri"/>
      <family val="2"/>
      <scheme val="minor"/>
    </font>
    <font>
      <b/>
      <sz val="16"/>
      <color theme="1"/>
      <name val="Calibri"/>
      <family val="2"/>
      <scheme val="minor"/>
    </font>
    <font>
      <b/>
      <sz val="26"/>
      <color theme="1"/>
      <name val="Calibri"/>
      <family val="2"/>
      <scheme val="minor"/>
    </font>
    <font>
      <sz val="10"/>
      <color rgb="FF000000"/>
      <name val="Arial"/>
      <family val="2"/>
    </font>
    <font>
      <sz val="11"/>
      <color rgb="FF000000"/>
      <name val="Calibri"/>
      <family val="2"/>
      <scheme val="minor"/>
    </font>
    <font>
      <sz val="12"/>
      <name val="Arial"/>
      <family val="2"/>
    </font>
    <font>
      <sz val="11"/>
      <color rgb="FF000000"/>
      <name val="Arial Narrow"/>
      <family val="2"/>
    </font>
    <font>
      <b/>
      <sz val="10"/>
      <color theme="1"/>
      <name val="Arial Narrow"/>
      <family val="2"/>
    </font>
    <font>
      <b/>
      <sz val="11"/>
      <color theme="1"/>
      <name val="Arial Narrow"/>
      <family val="2"/>
    </font>
    <font>
      <sz val="12"/>
      <color rgb="FF0070C0"/>
      <name val="Arial"/>
      <family val="2"/>
    </font>
  </fonts>
  <fills count="3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rgb="FF00FF00"/>
        <bgColor indexed="64"/>
      </patternFill>
    </fill>
    <fill>
      <patternFill patternType="solid">
        <fgColor theme="5" tint="0.39997558519241921"/>
        <bgColor indexed="64"/>
      </patternFill>
    </fill>
    <fill>
      <patternFill patternType="solid">
        <fgColor theme="1"/>
        <bgColor indexed="64"/>
      </patternFill>
    </fill>
    <fill>
      <patternFill patternType="solid">
        <fgColor theme="8"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rgb="FF66FFCC"/>
        <bgColor indexed="64"/>
      </patternFill>
    </fill>
    <fill>
      <patternFill patternType="solid">
        <fgColor rgb="FF00B050"/>
        <bgColor indexed="64"/>
      </patternFill>
    </fill>
    <fill>
      <patternFill patternType="solid">
        <fgColor rgb="FFFFCC00"/>
        <bgColor indexed="64"/>
      </patternFill>
    </fill>
    <fill>
      <patternFill patternType="solid">
        <fgColor rgb="FFFF9933"/>
        <bgColor indexed="64"/>
      </patternFill>
    </fill>
    <fill>
      <patternFill patternType="solid">
        <fgColor rgb="FFFF66CC"/>
        <bgColor indexed="64"/>
      </patternFill>
    </fill>
    <fill>
      <patternFill patternType="solid">
        <fgColor rgb="FFFFC000"/>
        <bgColor indexed="64"/>
      </patternFill>
    </fill>
    <fill>
      <patternFill patternType="solid">
        <fgColor rgb="FFFFFF99"/>
        <bgColor indexed="64"/>
      </patternFill>
    </fill>
    <fill>
      <patternFill patternType="solid">
        <fgColor rgb="FFFFCC99"/>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bgColor indexed="64"/>
      </patternFill>
    </fill>
    <fill>
      <patternFill patternType="solid">
        <fgColor theme="7" tint="-0.249977111117893"/>
        <bgColor indexed="64"/>
      </patternFill>
    </fill>
    <fill>
      <patternFill patternType="solid">
        <fgColor rgb="FFCCFF99"/>
        <bgColor indexed="64"/>
      </patternFill>
    </fill>
    <fill>
      <patternFill patternType="solid">
        <fgColor rgb="FF66FFFF"/>
        <bgColor indexed="64"/>
      </patternFill>
    </fill>
    <fill>
      <patternFill patternType="solid">
        <fgColor rgb="FF99FF99"/>
        <bgColor indexed="64"/>
      </patternFill>
    </fill>
    <fill>
      <patternFill patternType="solid">
        <fgColor rgb="FFFFFFCC"/>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thin">
        <color indexed="64"/>
      </right>
      <top style="thin">
        <color auto="1"/>
      </top>
      <bottom style="thin">
        <color indexed="64"/>
      </bottom>
      <diagonal/>
    </border>
  </borders>
  <cellStyleXfs count="3">
    <xf numFmtId="0" fontId="0" fillId="0" borderId="0"/>
    <xf numFmtId="43" fontId="21" fillId="0" borderId="0" applyFont="0" applyFill="0" applyBorder="0" applyAlignment="0" applyProtection="0"/>
    <xf numFmtId="9" fontId="21" fillId="0" borderId="0" applyFont="0" applyFill="0" applyBorder="0" applyAlignment="0" applyProtection="0"/>
  </cellStyleXfs>
  <cellXfs count="500">
    <xf numFmtId="0" fontId="0" fillId="0" borderId="0" xfId="0"/>
    <xf numFmtId="0" fontId="3" fillId="0" borderId="0" xfId="0" applyFont="1"/>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0" borderId="9" xfId="0" applyBorder="1"/>
    <xf numFmtId="0" fontId="0" fillId="0" borderId="12" xfId="0" applyBorder="1"/>
    <xf numFmtId="0" fontId="0" fillId="6" borderId="5"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4" borderId="11" xfId="0" applyFill="1" applyBorder="1" applyAlignment="1">
      <alignment horizontal="center"/>
    </xf>
    <xf numFmtId="0" fontId="0" fillId="7" borderId="13" xfId="0" applyFill="1" applyBorder="1" applyAlignment="1">
      <alignment horizontal="center"/>
    </xf>
    <xf numFmtId="0" fontId="0" fillId="7" borderId="15" xfId="0" applyFill="1" applyBorder="1" applyAlignment="1">
      <alignment horizontal="center"/>
    </xf>
    <xf numFmtId="0" fontId="17" fillId="8" borderId="1" xfId="0" applyFont="1" applyFill="1" applyBorder="1" applyAlignment="1">
      <alignment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10" borderId="9" xfId="0" applyFill="1" applyBorder="1" applyAlignment="1">
      <alignment horizontal="center" vertical="center"/>
    </xf>
    <xf numFmtId="0" fontId="0" fillId="10" borderId="8" xfId="0" applyFill="1" applyBorder="1" applyAlignment="1">
      <alignment horizontal="center" vertical="center"/>
    </xf>
    <xf numFmtId="0" fontId="0" fillId="11" borderId="0" xfId="0" applyFill="1"/>
    <xf numFmtId="0" fontId="5" fillId="11" borderId="0" xfId="0" applyFont="1" applyFill="1" applyAlignment="1">
      <alignment vertical="center" textRotation="180"/>
    </xf>
    <xf numFmtId="0" fontId="3" fillId="11" borderId="0" xfId="0" applyFont="1" applyFill="1"/>
    <xf numFmtId="0" fontId="9" fillId="11" borderId="0" xfId="0" applyFont="1" applyFill="1" applyAlignment="1">
      <alignment vertical="center" textRotation="180"/>
    </xf>
    <xf numFmtId="0" fontId="0" fillId="12" borderId="0" xfId="0" applyFill="1"/>
    <xf numFmtId="3" fontId="0" fillId="12" borderId="0" xfId="0" applyNumberFormat="1" applyFill="1"/>
    <xf numFmtId="0" fontId="0" fillId="12" borderId="1" xfId="0" applyFill="1" applyBorder="1" applyAlignment="1">
      <alignment horizontal="center" vertical="center"/>
    </xf>
    <xf numFmtId="0" fontId="7" fillId="5" borderId="2" xfId="0" applyFont="1" applyFill="1" applyBorder="1" applyAlignment="1">
      <alignment horizontal="center" vertical="center" wrapText="1"/>
    </xf>
    <xf numFmtId="0" fontId="7" fillId="5" borderId="1" xfId="0" applyFont="1" applyFill="1" applyBorder="1" applyAlignment="1">
      <alignment horizontal="center" vertical="center" wrapText="1"/>
    </xf>
    <xf numFmtId="3" fontId="7" fillId="5" borderId="3" xfId="0" applyNumberFormat="1"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14" borderId="1" xfId="0" applyFill="1" applyBorder="1" applyAlignment="1">
      <alignment vertical="center" wrapText="1"/>
    </xf>
    <xf numFmtId="3" fontId="0" fillId="14" borderId="1" xfId="0" applyNumberFormat="1" applyFill="1" applyBorder="1" applyAlignment="1">
      <alignment horizontal="center" vertical="center"/>
    </xf>
    <xf numFmtId="164" fontId="3" fillId="14" borderId="1" xfId="0" applyNumberFormat="1" applyFont="1" applyFill="1" applyBorder="1" applyAlignment="1">
      <alignment horizontal="right" vertical="center"/>
    </xf>
    <xf numFmtId="4" fontId="0" fillId="14" borderId="1" xfId="0" applyNumberFormat="1" applyFill="1" applyBorder="1"/>
    <xf numFmtId="164" fontId="0" fillId="14" borderId="1" xfId="0" applyNumberFormat="1" applyFill="1" applyBorder="1" applyAlignment="1">
      <alignment horizontal="center" vertical="center" wrapText="1"/>
    </xf>
    <xf numFmtId="14" fontId="13" fillId="14" borderId="1" xfId="0" applyNumberFormat="1" applyFont="1" applyFill="1" applyBorder="1" applyAlignment="1">
      <alignment horizontal="center" vertical="center"/>
    </xf>
    <xf numFmtId="0" fontId="0" fillId="14" borderId="0" xfId="0" applyFill="1"/>
    <xf numFmtId="164" fontId="0" fillId="14" borderId="1" xfId="0" applyNumberFormat="1" applyFill="1" applyBorder="1" applyAlignment="1">
      <alignment horizontal="center" vertical="center"/>
    </xf>
    <xf numFmtId="4" fontId="0" fillId="14" borderId="1" xfId="0" applyNumberFormat="1" applyFill="1" applyBorder="1" applyAlignment="1">
      <alignment vertical="center"/>
    </xf>
    <xf numFmtId="0" fontId="3" fillId="14" borderId="1" xfId="0" applyFont="1" applyFill="1" applyBorder="1" applyAlignment="1">
      <alignment vertical="center" wrapText="1"/>
    </xf>
    <xf numFmtId="3" fontId="3" fillId="14" borderId="1" xfId="0" applyNumberFormat="1" applyFont="1" applyFill="1" applyBorder="1" applyAlignment="1">
      <alignment horizontal="center" vertical="center"/>
    </xf>
    <xf numFmtId="164" fontId="0" fillId="14" borderId="1" xfId="0" applyNumberFormat="1" applyFill="1" applyBorder="1" applyAlignment="1">
      <alignment horizontal="right" vertical="center"/>
    </xf>
    <xf numFmtId="164" fontId="0" fillId="14" borderId="1" xfId="0" applyNumberFormat="1" applyFill="1" applyBorder="1" applyAlignment="1">
      <alignment horizontal="right"/>
    </xf>
    <xf numFmtId="3" fontId="0" fillId="14" borderId="1" xfId="0" applyNumberFormat="1" applyFill="1" applyBorder="1" applyAlignment="1">
      <alignment vertical="center"/>
    </xf>
    <xf numFmtId="0" fontId="0" fillId="15" borderId="1" xfId="0" applyFill="1" applyBorder="1" applyAlignment="1">
      <alignment vertical="center" wrapText="1"/>
    </xf>
    <xf numFmtId="3" fontId="0" fillId="15" borderId="1" xfId="0" applyNumberFormat="1" applyFill="1" applyBorder="1" applyAlignment="1">
      <alignment horizontal="center" vertical="center"/>
    </xf>
    <xf numFmtId="164" fontId="0" fillId="15" borderId="1" xfId="0" applyNumberFormat="1" applyFill="1" applyBorder="1" applyAlignment="1">
      <alignment horizontal="right" vertical="center"/>
    </xf>
    <xf numFmtId="4" fontId="0" fillId="15" borderId="1" xfId="0" applyNumberFormat="1" applyFill="1" applyBorder="1" applyAlignment="1">
      <alignment vertical="center"/>
    </xf>
    <xf numFmtId="14" fontId="13" fillId="15" borderId="1" xfId="0" applyNumberFormat="1" applyFont="1" applyFill="1" applyBorder="1" applyAlignment="1">
      <alignment horizontal="center" vertical="center"/>
    </xf>
    <xf numFmtId="0" fontId="0" fillId="15" borderId="0" xfId="0" applyFill="1"/>
    <xf numFmtId="0" fontId="0" fillId="12" borderId="8" xfId="0" applyFill="1" applyBorder="1" applyAlignment="1">
      <alignment horizontal="center" vertical="center"/>
    </xf>
    <xf numFmtId="0" fontId="0" fillId="12" borderId="9" xfId="0" applyFill="1" applyBorder="1" applyAlignment="1">
      <alignment horizontal="center" vertical="center"/>
    </xf>
    <xf numFmtId="0" fontId="0" fillId="12" borderId="10" xfId="0" applyFill="1" applyBorder="1" applyAlignment="1">
      <alignment horizontal="center" vertical="center"/>
    </xf>
    <xf numFmtId="0" fontId="0" fillId="12" borderId="8" xfId="0" applyFill="1" applyBorder="1"/>
    <xf numFmtId="0" fontId="0" fillId="12" borderId="9" xfId="0" applyFill="1" applyBorder="1"/>
    <xf numFmtId="0" fontId="0" fillId="12" borderId="12" xfId="0" applyFill="1" applyBorder="1"/>
    <xf numFmtId="0" fontId="5" fillId="12" borderId="9" xfId="0" applyFont="1" applyFill="1" applyBorder="1" applyAlignment="1">
      <alignment vertical="center" textRotation="180"/>
    </xf>
    <xf numFmtId="0" fontId="3" fillId="12" borderId="9" xfId="0" applyFont="1" applyFill="1" applyBorder="1"/>
    <xf numFmtId="0" fontId="3" fillId="12" borderId="12" xfId="0" applyFont="1" applyFill="1" applyBorder="1"/>
    <xf numFmtId="0" fontId="9" fillId="12" borderId="9" xfId="0" applyFont="1" applyFill="1" applyBorder="1" applyAlignment="1">
      <alignment vertical="center" textRotation="180"/>
    </xf>
    <xf numFmtId="0" fontId="0" fillId="12" borderId="6" xfId="0" applyFill="1" applyBorder="1"/>
    <xf numFmtId="0" fontId="0" fillId="12" borderId="10" xfId="0" applyFill="1" applyBorder="1"/>
    <xf numFmtId="0" fontId="5" fillId="12" borderId="8" xfId="0" applyFont="1" applyFill="1" applyBorder="1" applyAlignment="1">
      <alignment vertical="center" textRotation="180"/>
    </xf>
    <xf numFmtId="0" fontId="9" fillId="12" borderId="8" xfId="0" applyFont="1" applyFill="1" applyBorder="1" applyAlignment="1">
      <alignment vertical="center" textRotation="180"/>
    </xf>
    <xf numFmtId="0" fontId="3" fillId="12" borderId="10" xfId="0" applyFont="1" applyFill="1" applyBorder="1"/>
    <xf numFmtId="0" fontId="0" fillId="15" borderId="9" xfId="0" applyFill="1" applyBorder="1"/>
    <xf numFmtId="0" fontId="0" fillId="14" borderId="9" xfId="0" applyFill="1" applyBorder="1"/>
    <xf numFmtId="164" fontId="0" fillId="15" borderId="1" xfId="0" applyNumberFormat="1" applyFill="1" applyBorder="1" applyAlignment="1">
      <alignment horizontal="center" vertical="center"/>
    </xf>
    <xf numFmtId="0" fontId="19" fillId="15" borderId="0" xfId="0" applyFont="1" applyFill="1" applyAlignment="1">
      <alignment horizontal="center" vertical="center"/>
    </xf>
    <xf numFmtId="0" fontId="3" fillId="15" borderId="0" xfId="0" applyFont="1" applyFill="1"/>
    <xf numFmtId="0" fontId="3" fillId="12" borderId="8" xfId="0" applyFont="1" applyFill="1" applyBorder="1" applyAlignment="1">
      <alignment horizontal="center" vertical="center"/>
    </xf>
    <xf numFmtId="0" fontId="3" fillId="12" borderId="9" xfId="0" applyFont="1" applyFill="1" applyBorder="1" applyAlignment="1">
      <alignment horizontal="center" vertical="center"/>
    </xf>
    <xf numFmtId="0" fontId="3" fillId="12" borderId="10" xfId="0" applyFont="1" applyFill="1" applyBorder="1" applyAlignment="1">
      <alignment horizontal="center" vertical="center"/>
    </xf>
    <xf numFmtId="0" fontId="3" fillId="12" borderId="8" xfId="0" applyFont="1" applyFill="1" applyBorder="1"/>
    <xf numFmtId="43" fontId="0" fillId="15" borderId="1" xfId="1" applyFont="1" applyFill="1" applyBorder="1" applyAlignment="1">
      <alignment horizontal="right" vertical="center"/>
    </xf>
    <xf numFmtId="0" fontId="3" fillId="15" borderId="9" xfId="0" applyFont="1" applyFill="1" applyBorder="1"/>
    <xf numFmtId="43" fontId="0" fillId="15" borderId="1" xfId="1" applyFont="1" applyFill="1" applyBorder="1" applyAlignment="1">
      <alignment horizontal="center" vertical="center"/>
    </xf>
    <xf numFmtId="4" fontId="4" fillId="15" borderId="9" xfId="0" applyNumberFormat="1" applyFont="1" applyFill="1" applyBorder="1"/>
    <xf numFmtId="4" fontId="4" fillId="15" borderId="0" xfId="0" applyNumberFormat="1" applyFont="1" applyFill="1"/>
    <xf numFmtId="164" fontId="0" fillId="16" borderId="1" xfId="0" applyNumberFormat="1" applyFill="1" applyBorder="1" applyAlignment="1">
      <alignment horizontal="right" vertical="center"/>
    </xf>
    <xf numFmtId="4" fontId="0" fillId="16" borderId="1" xfId="0" applyNumberFormat="1" applyFill="1" applyBorder="1" applyAlignment="1">
      <alignment vertical="center"/>
    </xf>
    <xf numFmtId="14" fontId="13" fillId="16" borderId="1" xfId="0" applyNumberFormat="1" applyFont="1" applyFill="1" applyBorder="1" applyAlignment="1">
      <alignment horizontal="center" vertical="center"/>
    </xf>
    <xf numFmtId="0" fontId="0" fillId="16" borderId="9" xfId="0" applyFill="1" applyBorder="1"/>
    <xf numFmtId="0" fontId="0" fillId="16" borderId="0" xfId="0" applyFill="1"/>
    <xf numFmtId="164" fontId="0" fillId="16" borderId="1" xfId="0" applyNumberFormat="1" applyFill="1" applyBorder="1" applyAlignment="1">
      <alignment horizontal="center" vertical="center"/>
    </xf>
    <xf numFmtId="0" fontId="3" fillId="16" borderId="2" xfId="0" applyFont="1" applyFill="1" applyBorder="1" applyAlignment="1">
      <alignment vertical="center" wrapText="1"/>
    </xf>
    <xf numFmtId="3" fontId="23" fillId="16" borderId="1" xfId="0" applyNumberFormat="1" applyFont="1" applyFill="1" applyBorder="1" applyAlignment="1">
      <alignment vertical="center"/>
    </xf>
    <xf numFmtId="0" fontId="0" fillId="15" borderId="2" xfId="0" applyFill="1" applyBorder="1" applyAlignment="1">
      <alignment vertical="center" wrapText="1"/>
    </xf>
    <xf numFmtId="0" fontId="20" fillId="15" borderId="1" xfId="0" applyFont="1" applyFill="1" applyBorder="1" applyAlignment="1">
      <alignment horizontal="center" vertical="center"/>
    </xf>
    <xf numFmtId="3" fontId="19" fillId="15" borderId="1" xfId="0" applyNumberFormat="1" applyFont="1" applyFill="1" applyBorder="1" applyAlignment="1">
      <alignment horizontal="center" vertical="center"/>
    </xf>
    <xf numFmtId="3" fontId="18" fillId="14" borderId="1" xfId="0" applyNumberFormat="1" applyFont="1" applyFill="1" applyBorder="1" applyAlignment="1">
      <alignment horizontal="center" vertical="center"/>
    </xf>
    <xf numFmtId="3" fontId="18" fillId="15" borderId="1" xfId="0" applyNumberFormat="1" applyFont="1" applyFill="1" applyBorder="1" applyAlignment="1">
      <alignment horizontal="center" vertical="center"/>
    </xf>
    <xf numFmtId="164" fontId="0" fillId="17" borderId="1" xfId="0" applyNumberFormat="1" applyFill="1" applyBorder="1" applyAlignment="1">
      <alignment horizontal="right" vertical="center"/>
    </xf>
    <xf numFmtId="4" fontId="0" fillId="17" borderId="1" xfId="0" applyNumberFormat="1" applyFill="1" applyBorder="1" applyAlignment="1">
      <alignment vertical="center"/>
    </xf>
    <xf numFmtId="14" fontId="13" fillId="17" borderId="1" xfId="0" applyNumberFormat="1" applyFont="1" applyFill="1" applyBorder="1" applyAlignment="1">
      <alignment horizontal="center" vertical="center"/>
    </xf>
    <xf numFmtId="3" fontId="23" fillId="16" borderId="16" xfId="0" applyNumberFormat="1" applyFont="1" applyFill="1" applyBorder="1" applyAlignment="1">
      <alignment horizontal="center" vertical="center"/>
    </xf>
    <xf numFmtId="3" fontId="23" fillId="17" borderId="1" xfId="0" applyNumberFormat="1" applyFont="1" applyFill="1" applyBorder="1" applyAlignment="1">
      <alignment horizontal="center" vertical="center"/>
    </xf>
    <xf numFmtId="0" fontId="23" fillId="17" borderId="1" xfId="0" applyFont="1" applyFill="1" applyBorder="1" applyAlignment="1">
      <alignment vertical="center"/>
    </xf>
    <xf numFmtId="4" fontId="23" fillId="17" borderId="0" xfId="0" applyNumberFormat="1" applyFont="1" applyFill="1" applyAlignment="1">
      <alignment vertical="center"/>
    </xf>
    <xf numFmtId="4" fontId="23" fillId="17" borderId="1" xfId="0" applyNumberFormat="1" applyFont="1" applyFill="1" applyBorder="1" applyAlignment="1">
      <alignment vertical="center"/>
    </xf>
    <xf numFmtId="0" fontId="0" fillId="0" borderId="1" xfId="0" applyBorder="1"/>
    <xf numFmtId="3" fontId="23" fillId="18" borderId="16" xfId="0" applyNumberFormat="1" applyFont="1" applyFill="1" applyBorder="1" applyAlignment="1">
      <alignment horizontal="center" vertical="center"/>
    </xf>
    <xf numFmtId="4" fontId="0" fillId="18" borderId="16" xfId="0" applyNumberFormat="1" applyFill="1" applyBorder="1" applyAlignment="1">
      <alignment vertical="center"/>
    </xf>
    <xf numFmtId="164" fontId="0" fillId="18" borderId="16" xfId="0" applyNumberFormat="1" applyFill="1" applyBorder="1" applyAlignment="1">
      <alignment horizontal="center" vertical="center"/>
    </xf>
    <xf numFmtId="14" fontId="13" fillId="18" borderId="16" xfId="0" applyNumberFormat="1" applyFont="1" applyFill="1" applyBorder="1" applyAlignment="1">
      <alignment horizontal="center" vertical="center"/>
    </xf>
    <xf numFmtId="14" fontId="13" fillId="18" borderId="1" xfId="0" applyNumberFormat="1" applyFont="1" applyFill="1" applyBorder="1" applyAlignment="1">
      <alignment horizontal="center" vertical="center"/>
    </xf>
    <xf numFmtId="4" fontId="23" fillId="18" borderId="16" xfId="0" applyNumberFormat="1" applyFont="1" applyFill="1" applyBorder="1" applyAlignment="1">
      <alignment horizontal="center" vertical="center"/>
    </xf>
    <xf numFmtId="4" fontId="13" fillId="18" borderId="16" xfId="0" applyNumberFormat="1" applyFont="1" applyFill="1" applyBorder="1" applyAlignment="1">
      <alignment horizontal="center" vertical="center"/>
    </xf>
    <xf numFmtId="164" fontId="13" fillId="18" borderId="16" xfId="0" applyNumberFormat="1" applyFont="1" applyFill="1" applyBorder="1" applyAlignment="1">
      <alignment horizontal="center" vertical="center"/>
    </xf>
    <xf numFmtId="3" fontId="23" fillId="18" borderId="1" xfId="0" applyNumberFormat="1" applyFont="1" applyFill="1" applyBorder="1" applyAlignment="1">
      <alignment horizontal="center" vertical="center"/>
    </xf>
    <xf numFmtId="4" fontId="23" fillId="18" borderId="1" xfId="0" applyNumberFormat="1" applyFont="1" applyFill="1" applyBorder="1" applyAlignment="1">
      <alignment horizontal="center" vertical="center"/>
    </xf>
    <xf numFmtId="4" fontId="0" fillId="18" borderId="1" xfId="0" applyNumberFormat="1" applyFill="1" applyBorder="1" applyAlignment="1">
      <alignment vertical="center"/>
    </xf>
    <xf numFmtId="164" fontId="0" fillId="18" borderId="1" xfId="0" applyNumberFormat="1" applyFill="1" applyBorder="1" applyAlignment="1">
      <alignment horizontal="center" vertical="center"/>
    </xf>
    <xf numFmtId="3" fontId="24" fillId="18" borderId="1" xfId="0" applyNumberFormat="1" applyFont="1" applyFill="1" applyBorder="1" applyAlignment="1">
      <alignment horizontal="center" vertical="center"/>
    </xf>
    <xf numFmtId="4" fontId="24" fillId="18" borderId="1" xfId="0" applyNumberFormat="1" applyFont="1" applyFill="1" applyBorder="1" applyAlignment="1">
      <alignment horizontal="center" vertical="center"/>
    </xf>
    <xf numFmtId="0" fontId="0" fillId="10" borderId="10" xfId="0" applyFill="1" applyBorder="1" applyAlignment="1">
      <alignment horizontal="center" vertical="center"/>
    </xf>
    <xf numFmtId="0" fontId="0" fillId="10" borderId="9" xfId="0" applyFill="1" applyBorder="1"/>
    <xf numFmtId="0" fontId="0" fillId="10" borderId="12" xfId="0" applyFill="1" applyBorder="1"/>
    <xf numFmtId="0" fontId="0" fillId="10" borderId="8" xfId="0" applyFill="1" applyBorder="1"/>
    <xf numFmtId="4" fontId="4" fillId="12" borderId="9" xfId="0" applyNumberFormat="1" applyFont="1" applyFill="1" applyBorder="1" applyAlignment="1">
      <alignment horizontal="center" vertical="center"/>
    </xf>
    <xf numFmtId="4" fontId="4" fillId="12" borderId="9" xfId="0" applyNumberFormat="1" applyFont="1" applyFill="1" applyBorder="1"/>
    <xf numFmtId="0" fontId="0" fillId="19" borderId="9" xfId="0" applyFill="1" applyBorder="1"/>
    <xf numFmtId="0" fontId="0" fillId="12" borderId="13" xfId="0" applyFill="1" applyBorder="1" applyAlignment="1">
      <alignment horizontal="center" vertical="center"/>
    </xf>
    <xf numFmtId="164" fontId="0" fillId="18" borderId="17" xfId="0" applyNumberFormat="1" applyFill="1" applyBorder="1" applyAlignment="1">
      <alignment horizontal="center" vertical="center"/>
    </xf>
    <xf numFmtId="14" fontId="13" fillId="18" borderId="17" xfId="0" applyNumberFormat="1" applyFont="1" applyFill="1" applyBorder="1" applyAlignment="1">
      <alignment horizontal="center" vertical="center"/>
    </xf>
    <xf numFmtId="3" fontId="25" fillId="18" borderId="1" xfId="0" applyNumberFormat="1" applyFont="1" applyFill="1" applyBorder="1" applyAlignment="1">
      <alignment horizontal="center" vertical="center"/>
    </xf>
    <xf numFmtId="164" fontId="0" fillId="18" borderId="1" xfId="0" applyNumberFormat="1" applyFill="1" applyBorder="1" applyAlignment="1">
      <alignment horizontal="right" vertical="center"/>
    </xf>
    <xf numFmtId="0" fontId="19" fillId="18" borderId="1" xfId="0" applyFont="1" applyFill="1" applyBorder="1" applyAlignment="1">
      <alignment horizontal="center" vertical="center"/>
    </xf>
    <xf numFmtId="3" fontId="0" fillId="18" borderId="1" xfId="0" applyNumberFormat="1" applyFill="1" applyBorder="1" applyAlignment="1">
      <alignment horizontal="center" vertical="center"/>
    </xf>
    <xf numFmtId="0" fontId="19" fillId="14" borderId="1" xfId="0" applyFont="1" applyFill="1" applyBorder="1" applyAlignment="1">
      <alignment horizontal="center" vertical="center"/>
    </xf>
    <xf numFmtId="0" fontId="23" fillId="20" borderId="1" xfId="0" applyFont="1" applyFill="1" applyBorder="1" applyAlignment="1">
      <alignment vertical="center"/>
    </xf>
    <xf numFmtId="3" fontId="23" fillId="20" borderId="1" xfId="0" applyNumberFormat="1" applyFont="1" applyFill="1" applyBorder="1" applyAlignment="1">
      <alignment horizontal="center" vertical="center"/>
    </xf>
    <xf numFmtId="164" fontId="0" fillId="20" borderId="1" xfId="0" applyNumberFormat="1" applyFill="1" applyBorder="1" applyAlignment="1">
      <alignment horizontal="right" vertical="center"/>
    </xf>
    <xf numFmtId="4" fontId="0" fillId="20" borderId="1" xfId="0" applyNumberFormat="1" applyFill="1" applyBorder="1" applyAlignment="1">
      <alignment vertical="center"/>
    </xf>
    <xf numFmtId="14" fontId="13" fillId="20" borderId="1" xfId="0" applyNumberFormat="1" applyFont="1" applyFill="1" applyBorder="1" applyAlignment="1">
      <alignment horizontal="center" vertical="center"/>
    </xf>
    <xf numFmtId="164" fontId="0" fillId="20" borderId="1" xfId="0" applyNumberFormat="1" applyFill="1" applyBorder="1" applyAlignment="1">
      <alignment horizontal="center" vertical="center"/>
    </xf>
    <xf numFmtId="0" fontId="3" fillId="20" borderId="1" xfId="0" applyFont="1" applyFill="1" applyBorder="1" applyAlignment="1">
      <alignment horizontal="left" vertical="center" wrapText="1"/>
    </xf>
    <xf numFmtId="0" fontId="3" fillId="10" borderId="9" xfId="0" applyFont="1" applyFill="1" applyBorder="1"/>
    <xf numFmtId="0" fontId="3" fillId="19" borderId="6" xfId="0" applyFont="1" applyFill="1" applyBorder="1"/>
    <xf numFmtId="0" fontId="3" fillId="19" borderId="9" xfId="0" applyFont="1" applyFill="1" applyBorder="1"/>
    <xf numFmtId="0" fontId="3" fillId="21" borderId="1" xfId="0" applyFont="1" applyFill="1" applyBorder="1" applyAlignment="1">
      <alignment vertical="center" wrapText="1"/>
    </xf>
    <xf numFmtId="3" fontId="0" fillId="21" borderId="0" xfId="0" applyNumberFormat="1" applyFill="1" applyAlignment="1">
      <alignment horizontal="center" vertical="center"/>
    </xf>
    <xf numFmtId="164" fontId="0" fillId="21" borderId="1" xfId="0" applyNumberFormat="1" applyFill="1" applyBorder="1" applyAlignment="1">
      <alignment horizontal="right" vertical="center"/>
    </xf>
    <xf numFmtId="4" fontId="0" fillId="21" borderId="1" xfId="0" applyNumberFormat="1" applyFill="1" applyBorder="1" applyAlignment="1">
      <alignment vertical="center"/>
    </xf>
    <xf numFmtId="14" fontId="13" fillId="21" borderId="1" xfId="0" applyNumberFormat="1" applyFont="1" applyFill="1" applyBorder="1" applyAlignment="1">
      <alignment horizontal="center" vertical="center"/>
    </xf>
    <xf numFmtId="164" fontId="0" fillId="21" borderId="1" xfId="0" applyNumberFormat="1" applyFill="1" applyBorder="1" applyAlignment="1">
      <alignment horizontal="center" vertical="center"/>
    </xf>
    <xf numFmtId="0" fontId="3" fillId="10" borderId="9" xfId="0" applyFont="1" applyFill="1" applyBorder="1" applyAlignment="1">
      <alignment horizontal="center" vertical="center"/>
    </xf>
    <xf numFmtId="0" fontId="27" fillId="0" borderId="1" xfId="0" applyFont="1" applyBorder="1" applyAlignment="1">
      <alignment horizontal="center" vertical="center"/>
    </xf>
    <xf numFmtId="10" fontId="27" fillId="0" borderId="1" xfId="2" applyNumberFormat="1" applyFont="1" applyBorder="1" applyAlignment="1">
      <alignment horizontal="center" vertical="center"/>
    </xf>
    <xf numFmtId="43" fontId="27" fillId="0" borderId="1" xfId="1" applyFont="1" applyBorder="1" applyAlignment="1">
      <alignment horizontal="center" vertical="center" wrapText="1"/>
    </xf>
    <xf numFmtId="0" fontId="27" fillId="2" borderId="1" xfId="0" applyFont="1" applyFill="1" applyBorder="1" applyAlignment="1">
      <alignment horizontal="center" vertical="center"/>
    </xf>
    <xf numFmtId="0" fontId="26" fillId="2" borderId="1" xfId="0" applyFont="1" applyFill="1" applyBorder="1"/>
    <xf numFmtId="43" fontId="26" fillId="2" borderId="1" xfId="0" applyNumberFormat="1" applyFont="1" applyFill="1" applyBorder="1"/>
    <xf numFmtId="10" fontId="26" fillId="2" borderId="1" xfId="0" applyNumberFormat="1" applyFont="1" applyFill="1" applyBorder="1"/>
    <xf numFmtId="10" fontId="0" fillId="0" borderId="0" xfId="2" applyNumberFormat="1" applyFont="1"/>
    <xf numFmtId="10" fontId="0" fillId="22" borderId="1" xfId="2" applyNumberFormat="1" applyFont="1" applyFill="1" applyBorder="1"/>
    <xf numFmtId="0" fontId="0" fillId="22" borderId="1" xfId="0" applyFill="1" applyBorder="1"/>
    <xf numFmtId="43" fontId="0" fillId="22" borderId="1" xfId="1" applyFont="1" applyFill="1" applyBorder="1"/>
    <xf numFmtId="43" fontId="0" fillId="23" borderId="1" xfId="1" applyFont="1" applyFill="1" applyBorder="1"/>
    <xf numFmtId="10" fontId="0" fillId="23" borderId="1" xfId="2" applyNumberFormat="1" applyFont="1" applyFill="1" applyBorder="1"/>
    <xf numFmtId="0" fontId="0" fillId="23" borderId="1" xfId="0" applyFill="1" applyBorder="1"/>
    <xf numFmtId="4" fontId="0" fillId="23" borderId="9" xfId="0" applyNumberFormat="1" applyFill="1" applyBorder="1"/>
    <xf numFmtId="4" fontId="29" fillId="23" borderId="25" xfId="0" applyNumberFormat="1" applyFont="1" applyFill="1" applyBorder="1" applyAlignment="1">
      <alignment horizontal="right" vertical="center"/>
    </xf>
    <xf numFmtId="4" fontId="20" fillId="23" borderId="9" xfId="0" applyNumberFormat="1" applyFont="1" applyFill="1" applyBorder="1"/>
    <xf numFmtId="4" fontId="30" fillId="23" borderId="25" xfId="0" applyNumberFormat="1" applyFont="1" applyFill="1" applyBorder="1" applyAlignment="1">
      <alignment horizontal="right" vertical="center"/>
    </xf>
    <xf numFmtId="10" fontId="0" fillId="23" borderId="9" xfId="2" applyNumberFormat="1" applyFont="1" applyFill="1" applyBorder="1"/>
    <xf numFmtId="43" fontId="0" fillId="23" borderId="1" xfId="0" applyNumberFormat="1" applyFill="1" applyBorder="1"/>
    <xf numFmtId="43" fontId="27" fillId="0" borderId="1" xfId="1" applyFont="1" applyBorder="1" applyAlignment="1">
      <alignment horizontal="center" vertical="center"/>
    </xf>
    <xf numFmtId="43" fontId="0" fillId="23" borderId="9" xfId="1" applyFont="1" applyFill="1" applyBorder="1"/>
    <xf numFmtId="43" fontId="20" fillId="23" borderId="9" xfId="1" applyFont="1" applyFill="1" applyBorder="1"/>
    <xf numFmtId="43" fontId="30" fillId="23" borderId="25" xfId="1" applyFont="1" applyFill="1" applyBorder="1" applyAlignment="1">
      <alignment horizontal="right" vertical="center"/>
    </xf>
    <xf numFmtId="43" fontId="0" fillId="0" borderId="0" xfId="1" applyFont="1"/>
    <xf numFmtId="4" fontId="0" fillId="24" borderId="9" xfId="0" applyNumberFormat="1" applyFill="1" applyBorder="1"/>
    <xf numFmtId="10" fontId="0" fillId="24" borderId="1" xfId="2" applyNumberFormat="1" applyFont="1" applyFill="1" applyBorder="1"/>
    <xf numFmtId="43" fontId="0" fillId="24" borderId="1" xfId="1" applyFont="1" applyFill="1" applyBorder="1"/>
    <xf numFmtId="0" fontId="0" fillId="24" borderId="1" xfId="0" applyFill="1" applyBorder="1"/>
    <xf numFmtId="43" fontId="0" fillId="25" borderId="1" xfId="1" applyFont="1" applyFill="1" applyBorder="1" applyAlignment="1">
      <alignment horizontal="right" vertical="center"/>
    </xf>
    <xf numFmtId="4" fontId="0" fillId="25" borderId="9" xfId="0" applyNumberFormat="1" applyFill="1" applyBorder="1"/>
    <xf numFmtId="10" fontId="0" fillId="25" borderId="1" xfId="2" applyNumberFormat="1" applyFont="1" applyFill="1" applyBorder="1"/>
    <xf numFmtId="43" fontId="0" fillId="25" borderId="1" xfId="1" applyFont="1" applyFill="1" applyBorder="1"/>
    <xf numFmtId="0" fontId="0" fillId="25" borderId="1" xfId="0" applyFill="1" applyBorder="1"/>
    <xf numFmtId="0" fontId="18" fillId="15" borderId="1" xfId="0" applyFont="1" applyFill="1" applyBorder="1" applyAlignment="1">
      <alignment horizontal="left" vertical="center"/>
    </xf>
    <xf numFmtId="0" fontId="22" fillId="15" borderId="1" xfId="0" applyFont="1" applyFill="1" applyBorder="1" applyAlignment="1">
      <alignment horizontal="left" vertical="center"/>
    </xf>
    <xf numFmtId="0" fontId="18" fillId="16" borderId="0" xfId="0" applyFont="1" applyFill="1" applyAlignment="1">
      <alignment horizontal="left" vertical="center"/>
    </xf>
    <xf numFmtId="0" fontId="18" fillId="18" borderId="16" xfId="0" applyFont="1" applyFill="1" applyBorder="1" applyAlignment="1">
      <alignment horizontal="left" vertical="center"/>
    </xf>
    <xf numFmtId="0" fontId="23" fillId="18" borderId="1" xfId="0" applyFont="1" applyFill="1" applyBorder="1" applyAlignment="1">
      <alignment horizontal="left" vertical="center"/>
    </xf>
    <xf numFmtId="0" fontId="24" fillId="18" borderId="1" xfId="0" applyFont="1" applyFill="1" applyBorder="1" applyAlignment="1">
      <alignment horizontal="left" vertical="center"/>
    </xf>
    <xf numFmtId="0" fontId="19" fillId="18" borderId="1" xfId="0" applyFont="1" applyFill="1" applyBorder="1" applyAlignment="1">
      <alignment horizontal="left" vertical="center"/>
    </xf>
    <xf numFmtId="0" fontId="20" fillId="18" borderId="1" xfId="0" applyFont="1" applyFill="1" applyBorder="1" applyAlignment="1">
      <alignment horizontal="left" vertical="center"/>
    </xf>
    <xf numFmtId="0" fontId="19" fillId="14" borderId="1" xfId="0" applyFont="1" applyFill="1" applyBorder="1" applyAlignment="1">
      <alignment horizontal="left" vertical="center"/>
    </xf>
    <xf numFmtId="49" fontId="0" fillId="14" borderId="1" xfId="0" applyNumberFormat="1" applyFill="1" applyBorder="1" applyAlignment="1">
      <alignment horizontal="right"/>
    </xf>
    <xf numFmtId="49" fontId="0" fillId="15" borderId="1" xfId="0" applyNumberFormat="1" applyFill="1" applyBorder="1" applyAlignment="1">
      <alignment horizontal="right"/>
    </xf>
    <xf numFmtId="49" fontId="0" fillId="17" borderId="1" xfId="0" applyNumberFormat="1" applyFill="1" applyBorder="1" applyAlignment="1">
      <alignment horizontal="right"/>
    </xf>
    <xf numFmtId="49" fontId="0" fillId="18" borderId="16" xfId="0" applyNumberFormat="1" applyFill="1" applyBorder="1" applyAlignment="1">
      <alignment horizontal="right"/>
    </xf>
    <xf numFmtId="49" fontId="0" fillId="18" borderId="1" xfId="0" applyNumberFormat="1" applyFill="1" applyBorder="1" applyAlignment="1">
      <alignment horizontal="right"/>
    </xf>
    <xf numFmtId="49" fontId="0" fillId="20" borderId="1" xfId="0" applyNumberFormat="1" applyFill="1" applyBorder="1" applyAlignment="1">
      <alignment horizontal="right"/>
    </xf>
    <xf numFmtId="49" fontId="0" fillId="16" borderId="1" xfId="0" applyNumberFormat="1" applyFill="1" applyBorder="1" applyAlignment="1">
      <alignment horizontal="right"/>
    </xf>
    <xf numFmtId="49" fontId="0" fillId="21" borderId="1" xfId="0" applyNumberFormat="1" applyFill="1" applyBorder="1" applyAlignment="1">
      <alignment horizontal="right"/>
    </xf>
    <xf numFmtId="0" fontId="23" fillId="18" borderId="16" xfId="0" applyFont="1" applyFill="1" applyBorder="1" applyAlignment="1">
      <alignment horizontal="left" vertical="center" wrapText="1"/>
    </xf>
    <xf numFmtId="4" fontId="30" fillId="22" borderId="25" xfId="0" applyNumberFormat="1" applyFont="1" applyFill="1" applyBorder="1" applyAlignment="1">
      <alignment horizontal="right" vertical="center"/>
    </xf>
    <xf numFmtId="43" fontId="0" fillId="22" borderId="1" xfId="0" applyNumberFormat="1" applyFill="1" applyBorder="1"/>
    <xf numFmtId="43" fontId="0" fillId="26" borderId="1" xfId="1" applyFont="1" applyFill="1" applyBorder="1"/>
    <xf numFmtId="10" fontId="0" fillId="26" borderId="1" xfId="2" applyNumberFormat="1" applyFont="1" applyFill="1" applyBorder="1"/>
    <xf numFmtId="0" fontId="0" fillId="26" borderId="1" xfId="0" applyFill="1" applyBorder="1"/>
    <xf numFmtId="3" fontId="0" fillId="27" borderId="1" xfId="0" applyNumberFormat="1" applyFill="1" applyBorder="1" applyAlignment="1">
      <alignment horizontal="center" vertical="center"/>
    </xf>
    <xf numFmtId="164" fontId="3" fillId="27" borderId="1" xfId="0" applyNumberFormat="1" applyFont="1" applyFill="1" applyBorder="1" applyAlignment="1">
      <alignment horizontal="right" vertical="center"/>
    </xf>
    <xf numFmtId="4" fontId="0" fillId="27" borderId="1" xfId="0" applyNumberFormat="1" applyFill="1" applyBorder="1"/>
    <xf numFmtId="164" fontId="0" fillId="27" borderId="1" xfId="0" applyNumberFormat="1" applyFill="1" applyBorder="1" applyAlignment="1">
      <alignment horizontal="center" vertical="center" wrapText="1"/>
    </xf>
    <xf numFmtId="14" fontId="13" fillId="27" borderId="1" xfId="0" applyNumberFormat="1" applyFont="1" applyFill="1" applyBorder="1" applyAlignment="1">
      <alignment horizontal="center" vertical="center"/>
    </xf>
    <xf numFmtId="49" fontId="13" fillId="27" borderId="1" xfId="0" applyNumberFormat="1" applyFont="1" applyFill="1" applyBorder="1" applyAlignment="1">
      <alignment horizontal="center" vertical="center"/>
    </xf>
    <xf numFmtId="0" fontId="6" fillId="27" borderId="1" xfId="0" applyFont="1" applyFill="1" applyBorder="1" applyAlignment="1">
      <alignment horizontal="center" vertical="center" wrapText="1"/>
    </xf>
    <xf numFmtId="0" fontId="2" fillId="27" borderId="1" xfId="0" applyFont="1" applyFill="1" applyBorder="1" applyAlignment="1">
      <alignment horizontal="center" vertical="center"/>
    </xf>
    <xf numFmtId="164" fontId="0" fillId="27" borderId="1" xfId="0" applyNumberFormat="1" applyFill="1" applyBorder="1" applyAlignment="1">
      <alignment horizontal="center" vertical="center"/>
    </xf>
    <xf numFmtId="4" fontId="0" fillId="27" borderId="1" xfId="0" applyNumberFormat="1" applyFill="1" applyBorder="1" applyAlignment="1">
      <alignment vertical="center"/>
    </xf>
    <xf numFmtId="0" fontId="18" fillId="27" borderId="1" xfId="0" applyFont="1" applyFill="1" applyBorder="1" applyAlignment="1">
      <alignment horizontal="center" wrapText="1"/>
    </xf>
    <xf numFmtId="164" fontId="0" fillId="27" borderId="1" xfId="0" applyNumberFormat="1" applyFill="1" applyBorder="1" applyAlignment="1">
      <alignment horizontal="right" vertical="center"/>
    </xf>
    <xf numFmtId="0" fontId="18" fillId="27" borderId="0" xfId="0" applyFont="1" applyFill="1" applyAlignment="1">
      <alignment horizontal="center" wrapText="1"/>
    </xf>
    <xf numFmtId="0" fontId="18" fillId="27" borderId="1" xfId="0" applyFont="1" applyFill="1" applyBorder="1" applyAlignment="1">
      <alignment horizontal="center" vertical="center" wrapText="1"/>
    </xf>
    <xf numFmtId="0" fontId="19" fillId="27" borderId="1" xfId="0" applyFont="1" applyFill="1" applyBorder="1" applyAlignment="1">
      <alignment horizontal="center" wrapText="1"/>
    </xf>
    <xf numFmtId="0" fontId="0" fillId="27" borderId="1" xfId="0" applyFill="1" applyBorder="1" applyAlignment="1">
      <alignment horizontal="center" vertical="center" wrapText="1"/>
    </xf>
    <xf numFmtId="0" fontId="19" fillId="27" borderId="1" xfId="0" applyFont="1" applyFill="1" applyBorder="1" applyAlignment="1">
      <alignment horizontal="center" vertical="center" wrapText="1"/>
    </xf>
    <xf numFmtId="0" fontId="25" fillId="27" borderId="1" xfId="0" applyFont="1" applyFill="1" applyBorder="1" applyAlignment="1">
      <alignment horizontal="center" vertical="center" wrapText="1"/>
    </xf>
    <xf numFmtId="0" fontId="31" fillId="27" borderId="1" xfId="0" applyFont="1" applyFill="1" applyBorder="1" applyAlignment="1">
      <alignment horizontal="center" vertical="center" wrapText="1"/>
    </xf>
    <xf numFmtId="49" fontId="26" fillId="27" borderId="1" xfId="0" applyNumberFormat="1" applyFont="1" applyFill="1" applyBorder="1" applyAlignment="1">
      <alignment horizontal="right" vertical="center"/>
    </xf>
    <xf numFmtId="0" fontId="19" fillId="27" borderId="0" xfId="0" applyFont="1" applyFill="1" applyAlignment="1">
      <alignment horizontal="center" vertical="center" wrapText="1"/>
    </xf>
    <xf numFmtId="49" fontId="26" fillId="27" borderId="1" xfId="0" applyNumberFormat="1" applyFont="1" applyFill="1" applyBorder="1" applyAlignment="1">
      <alignment vertical="center"/>
    </xf>
    <xf numFmtId="0" fontId="25" fillId="27" borderId="1" xfId="0" applyFont="1" applyFill="1" applyBorder="1" applyAlignment="1">
      <alignment vertical="center" wrapText="1"/>
    </xf>
    <xf numFmtId="164" fontId="0" fillId="27" borderId="1" xfId="0" applyNumberFormat="1" applyFill="1" applyBorder="1" applyAlignment="1">
      <alignment vertical="center"/>
    </xf>
    <xf numFmtId="3" fontId="18" fillId="27" borderId="1" xfId="0" applyNumberFormat="1" applyFont="1" applyFill="1" applyBorder="1" applyAlignment="1">
      <alignment horizontal="center" vertical="center"/>
    </xf>
    <xf numFmtId="0" fontId="32" fillId="27" borderId="1" xfId="0" applyFont="1" applyFill="1" applyBorder="1" applyAlignment="1">
      <alignment horizontal="center" wrapText="1"/>
    </xf>
    <xf numFmtId="49" fontId="26" fillId="27" borderId="1" xfId="0" applyNumberFormat="1" applyFont="1" applyFill="1" applyBorder="1" applyAlignment="1">
      <alignment horizontal="center" vertical="center"/>
    </xf>
    <xf numFmtId="0" fontId="20" fillId="27" borderId="1" xfId="0" applyFont="1" applyFill="1" applyBorder="1" applyAlignment="1">
      <alignment horizontal="center" vertical="center" wrapText="1"/>
    </xf>
    <xf numFmtId="0" fontId="19" fillId="27" borderId="1" xfId="0" applyFont="1" applyFill="1" applyBorder="1" applyAlignment="1">
      <alignment horizontal="center" vertical="center"/>
    </xf>
    <xf numFmtId="49" fontId="0" fillId="27" borderId="16" xfId="0" applyNumberFormat="1" applyFill="1" applyBorder="1" applyAlignment="1">
      <alignment horizontal="center" vertical="center"/>
    </xf>
    <xf numFmtId="0" fontId="0" fillId="27" borderId="16" xfId="0" applyFill="1" applyBorder="1" applyAlignment="1">
      <alignment vertical="center" wrapText="1"/>
    </xf>
    <xf numFmtId="3" fontId="0" fillId="27" borderId="16" xfId="0" applyNumberFormat="1" applyFill="1" applyBorder="1" applyAlignment="1">
      <alignment horizontal="center" vertical="center"/>
    </xf>
    <xf numFmtId="164" fontId="0" fillId="27" borderId="16" xfId="0" applyNumberFormat="1" applyFill="1" applyBorder="1" applyAlignment="1">
      <alignment horizontal="right" vertical="center"/>
    </xf>
    <xf numFmtId="4" fontId="0" fillId="27" borderId="16" xfId="0" applyNumberFormat="1" applyFill="1" applyBorder="1" applyAlignment="1">
      <alignment vertical="center"/>
    </xf>
    <xf numFmtId="164" fontId="0" fillId="27" borderId="16" xfId="0" applyNumberFormat="1" applyFill="1" applyBorder="1" applyAlignment="1">
      <alignment horizontal="center" vertical="center"/>
    </xf>
    <xf numFmtId="14" fontId="13" fillId="27" borderId="16" xfId="0" applyNumberFormat="1" applyFont="1" applyFill="1" applyBorder="1" applyAlignment="1">
      <alignment horizontal="center" vertical="center"/>
    </xf>
    <xf numFmtId="49" fontId="13" fillId="27" borderId="16" xfId="0" applyNumberFormat="1" applyFont="1" applyFill="1" applyBorder="1" applyAlignment="1">
      <alignment horizontal="center" vertical="center"/>
    </xf>
    <xf numFmtId="0" fontId="6" fillId="27" borderId="16" xfId="0" applyFont="1" applyFill="1" applyBorder="1" applyAlignment="1">
      <alignment horizontal="center" vertical="center" wrapText="1"/>
    </xf>
    <xf numFmtId="0" fontId="2" fillId="27" borderId="16" xfId="0" applyFont="1" applyFill="1" applyBorder="1" applyAlignment="1">
      <alignment horizontal="center" vertical="center"/>
    </xf>
    <xf numFmtId="49" fontId="0" fillId="5" borderId="1" xfId="0" applyNumberFormat="1" applyFill="1" applyBorder="1" applyAlignment="1">
      <alignment horizontal="center" vertical="center"/>
    </xf>
    <xf numFmtId="0" fontId="16"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164" fontId="0" fillId="5" borderId="1" xfId="0" applyNumberFormat="1" applyFill="1" applyBorder="1" applyAlignment="1">
      <alignment horizontal="right" vertical="center"/>
    </xf>
    <xf numFmtId="4" fontId="0" fillId="5" borderId="1" xfId="0" applyNumberFormat="1" applyFill="1" applyBorder="1" applyAlignment="1">
      <alignment vertical="center"/>
    </xf>
    <xf numFmtId="164" fontId="0" fillId="5" borderId="1" xfId="0" applyNumberFormat="1" applyFill="1" applyBorder="1" applyAlignment="1">
      <alignment horizontal="center" vertical="center"/>
    </xf>
    <xf numFmtId="14" fontId="13" fillId="5" borderId="1" xfId="0" applyNumberFormat="1" applyFont="1" applyFill="1" applyBorder="1" applyAlignment="1">
      <alignment horizontal="center" vertical="center"/>
    </xf>
    <xf numFmtId="49" fontId="13" fillId="5"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49" fontId="0" fillId="14" borderId="1" xfId="0" applyNumberFormat="1" applyFill="1" applyBorder="1" applyAlignment="1">
      <alignment horizontal="center" vertical="center"/>
    </xf>
    <xf numFmtId="0" fontId="18" fillId="14" borderId="1" xfId="0" applyFont="1" applyFill="1" applyBorder="1" applyAlignment="1">
      <alignment horizontal="center" vertical="center"/>
    </xf>
    <xf numFmtId="3" fontId="19" fillId="14" borderId="1" xfId="0" applyNumberFormat="1" applyFont="1" applyFill="1" applyBorder="1" applyAlignment="1">
      <alignment horizontal="center" vertical="center"/>
    </xf>
    <xf numFmtId="0" fontId="18" fillId="14" borderId="1" xfId="0" applyFont="1" applyFill="1" applyBorder="1" applyAlignment="1">
      <alignment horizontal="center" wrapText="1"/>
    </xf>
    <xf numFmtId="43" fontId="0" fillId="14" borderId="1" xfId="1" applyFont="1" applyFill="1" applyBorder="1" applyAlignment="1">
      <alignment horizontal="right" vertical="center"/>
    </xf>
    <xf numFmtId="4" fontId="0" fillId="14" borderId="1" xfId="0" applyNumberFormat="1" applyFill="1" applyBorder="1" applyAlignment="1">
      <alignment horizontal="center" vertical="center" wrapText="1"/>
    </xf>
    <xf numFmtId="43" fontId="0" fillId="14" borderId="1" xfId="1" applyFont="1" applyFill="1" applyBorder="1" applyAlignment="1">
      <alignment horizontal="center" vertical="center"/>
    </xf>
    <xf numFmtId="49" fontId="13" fillId="14" borderId="1" xfId="0" applyNumberFormat="1" applyFont="1" applyFill="1" applyBorder="1" applyAlignment="1">
      <alignment horizontal="center" vertical="center"/>
    </xf>
    <xf numFmtId="0" fontId="6" fillId="14" borderId="1" xfId="0" applyFont="1" applyFill="1" applyBorder="1" applyAlignment="1">
      <alignment horizontal="center" vertical="center" wrapText="1"/>
    </xf>
    <xf numFmtId="0" fontId="2" fillId="14" borderId="1" xfId="0" applyFont="1" applyFill="1" applyBorder="1" applyAlignment="1">
      <alignment horizontal="center" vertical="center"/>
    </xf>
    <xf numFmtId="0" fontId="22" fillId="14" borderId="1" xfId="0" applyFont="1" applyFill="1" applyBorder="1" applyAlignment="1">
      <alignment horizontal="center" vertical="center"/>
    </xf>
    <xf numFmtId="3" fontId="20" fillId="14" borderId="1" xfId="0" applyNumberFormat="1" applyFont="1" applyFill="1" applyBorder="1" applyAlignment="1">
      <alignment horizontal="center" vertical="center"/>
    </xf>
    <xf numFmtId="0" fontId="3" fillId="14" borderId="2" xfId="0" applyFont="1" applyFill="1" applyBorder="1" applyAlignment="1">
      <alignment vertical="center" wrapText="1"/>
    </xf>
    <xf numFmtId="3" fontId="23" fillId="14" borderId="1" xfId="0" applyNumberFormat="1" applyFont="1" applyFill="1" applyBorder="1" applyAlignment="1">
      <alignment horizontal="center" vertical="center"/>
    </xf>
    <xf numFmtId="0" fontId="18" fillId="14" borderId="1" xfId="0" applyFont="1" applyFill="1" applyBorder="1" applyAlignment="1">
      <alignment horizontal="center" vertical="center" wrapText="1"/>
    </xf>
    <xf numFmtId="0" fontId="18" fillId="14" borderId="0" xfId="0" applyFont="1" applyFill="1" applyAlignment="1">
      <alignment horizontal="center" vertical="center"/>
    </xf>
    <xf numFmtId="3" fontId="23" fillId="14" borderId="16" xfId="0" applyNumberFormat="1" applyFont="1" applyFill="1" applyBorder="1" applyAlignment="1">
      <alignment horizontal="center" vertical="center"/>
    </xf>
    <xf numFmtId="49" fontId="0" fillId="14" borderId="1" xfId="0" applyNumberFormat="1" applyFill="1" applyBorder="1" applyAlignment="1">
      <alignment horizontal="right" vertical="center"/>
    </xf>
    <xf numFmtId="0" fontId="23" fillId="14" borderId="1" xfId="0" applyFont="1" applyFill="1" applyBorder="1" applyAlignment="1">
      <alignment vertical="center"/>
    </xf>
    <xf numFmtId="0" fontId="18" fillId="14" borderId="0" xfId="0" applyFont="1" applyFill="1" applyAlignment="1">
      <alignment horizontal="center" vertical="center" wrapText="1"/>
    </xf>
    <xf numFmtId="4" fontId="23" fillId="14" borderId="1" xfId="0" applyNumberFormat="1" applyFont="1" applyFill="1" applyBorder="1" applyAlignment="1">
      <alignment vertical="center"/>
    </xf>
    <xf numFmtId="0" fontId="13" fillId="14" borderId="1" xfId="0" applyFont="1" applyFill="1" applyBorder="1" applyAlignment="1">
      <alignment horizontal="center" vertical="center"/>
    </xf>
    <xf numFmtId="4" fontId="23" fillId="14" borderId="16" xfId="0" applyNumberFormat="1" applyFont="1" applyFill="1" applyBorder="1" applyAlignment="1">
      <alignment vertical="center"/>
    </xf>
    <xf numFmtId="0" fontId="0" fillId="28" borderId="9" xfId="0" applyFill="1" applyBorder="1"/>
    <xf numFmtId="0" fontId="0" fillId="12" borderId="9" xfId="0" applyFill="1" applyBorder="1" applyAlignment="1">
      <alignment vertical="center"/>
    </xf>
    <xf numFmtId="0" fontId="0" fillId="10" borderId="9" xfId="0" applyFill="1" applyBorder="1" applyAlignment="1">
      <alignment vertical="center"/>
    </xf>
    <xf numFmtId="0" fontId="0" fillId="10" borderId="10" xfId="0" applyFill="1" applyBorder="1" applyAlignment="1">
      <alignment vertical="center"/>
    </xf>
    <xf numFmtId="0" fontId="3" fillId="10" borderId="10" xfId="0" applyFont="1" applyFill="1" applyBorder="1" applyAlignment="1">
      <alignment horizontal="center" vertical="center"/>
    </xf>
    <xf numFmtId="0" fontId="3" fillId="10" borderId="0" xfId="0" applyFont="1" applyFill="1"/>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2" borderId="20" xfId="0" applyFill="1" applyBorder="1" applyAlignment="1">
      <alignment horizontal="center" vertical="center"/>
    </xf>
    <xf numFmtId="0" fontId="0" fillId="12" borderId="18" xfId="0" applyFill="1" applyBorder="1"/>
    <xf numFmtId="0" fontId="0" fillId="12" borderId="19" xfId="0" applyFill="1" applyBorder="1"/>
    <xf numFmtId="0" fontId="0" fillId="12" borderId="21" xfId="0" applyFill="1" applyBorder="1"/>
    <xf numFmtId="0" fontId="0" fillId="12" borderId="1" xfId="0" applyFill="1" applyBorder="1"/>
    <xf numFmtId="0" fontId="0" fillId="12" borderId="22" xfId="0" applyFill="1" applyBorder="1" applyAlignment="1">
      <alignment horizontal="center" vertical="center"/>
    </xf>
    <xf numFmtId="0" fontId="0" fillId="12" borderId="23" xfId="0" applyFill="1" applyBorder="1" applyAlignment="1">
      <alignment horizontal="center" vertical="center"/>
    </xf>
    <xf numFmtId="0" fontId="0" fillId="12" borderId="22" xfId="0" applyFill="1" applyBorder="1"/>
    <xf numFmtId="0" fontId="0" fillId="12" borderId="13" xfId="0" applyFill="1" applyBorder="1"/>
    <xf numFmtId="0" fontId="0" fillId="12" borderId="15" xfId="0" applyFill="1" applyBorder="1"/>
    <xf numFmtId="49" fontId="0" fillId="29" borderId="1" xfId="0" applyNumberFormat="1" applyFill="1" applyBorder="1" applyAlignment="1">
      <alignment horizontal="right" vertical="center"/>
    </xf>
    <xf numFmtId="0" fontId="18" fillId="29" borderId="1" xfId="0" applyFont="1" applyFill="1" applyBorder="1" applyAlignment="1">
      <alignment horizontal="center" vertical="center"/>
    </xf>
    <xf numFmtId="3" fontId="0" fillId="29" borderId="1" xfId="0" applyNumberFormat="1" applyFill="1" applyBorder="1" applyAlignment="1">
      <alignment horizontal="center" vertical="center"/>
    </xf>
    <xf numFmtId="4" fontId="23" fillId="29" borderId="1" xfId="0" applyNumberFormat="1" applyFont="1" applyFill="1" applyBorder="1" applyAlignment="1">
      <alignment horizontal="center" vertical="center"/>
    </xf>
    <xf numFmtId="4" fontId="0" fillId="29" borderId="1" xfId="0" applyNumberFormat="1" applyFill="1" applyBorder="1" applyAlignment="1">
      <alignment vertical="center"/>
    </xf>
    <xf numFmtId="4" fontId="0" fillId="29" borderId="16" xfId="0" applyNumberFormat="1" applyFill="1" applyBorder="1" applyAlignment="1">
      <alignment vertical="center"/>
    </xf>
    <xf numFmtId="164" fontId="0" fillId="29" borderId="16" xfId="0" applyNumberFormat="1" applyFill="1" applyBorder="1" applyAlignment="1">
      <alignment horizontal="center" vertical="center"/>
    </xf>
    <xf numFmtId="14" fontId="13" fillId="29" borderId="16" xfId="0" applyNumberFormat="1" applyFont="1" applyFill="1" applyBorder="1" applyAlignment="1">
      <alignment horizontal="center" vertical="center"/>
    </xf>
    <xf numFmtId="14" fontId="13" fillId="29" borderId="1" xfId="0" applyNumberFormat="1" applyFont="1" applyFill="1" applyBorder="1" applyAlignment="1">
      <alignment horizontal="center" vertical="center"/>
    </xf>
    <xf numFmtId="49" fontId="13" fillId="29" borderId="1" xfId="0" applyNumberFormat="1" applyFont="1" applyFill="1" applyBorder="1" applyAlignment="1">
      <alignment horizontal="center" vertical="center"/>
    </xf>
    <xf numFmtId="0" fontId="6" fillId="29" borderId="1" xfId="0" applyFont="1" applyFill="1" applyBorder="1" applyAlignment="1">
      <alignment horizontal="center" vertical="center" wrapText="1"/>
    </xf>
    <xf numFmtId="0" fontId="2" fillId="29" borderId="1" xfId="0" applyFont="1" applyFill="1" applyBorder="1" applyAlignment="1">
      <alignment horizontal="center" vertical="center"/>
    </xf>
    <xf numFmtId="49" fontId="0" fillId="29" borderId="1" xfId="0" applyNumberFormat="1" applyFill="1" applyBorder="1" applyAlignment="1">
      <alignment horizontal="center" vertical="center"/>
    </xf>
    <xf numFmtId="0" fontId="23" fillId="29" borderId="1" xfId="0" applyFont="1" applyFill="1" applyBorder="1" applyAlignment="1">
      <alignment horizontal="center" vertical="center"/>
    </xf>
    <xf numFmtId="3" fontId="23" fillId="29" borderId="1" xfId="0" applyNumberFormat="1" applyFont="1" applyFill="1" applyBorder="1" applyAlignment="1">
      <alignment horizontal="center" vertical="center"/>
    </xf>
    <xf numFmtId="4" fontId="13" fillId="29" borderId="1" xfId="0" applyNumberFormat="1" applyFont="1" applyFill="1" applyBorder="1" applyAlignment="1">
      <alignment horizontal="center" vertical="center"/>
    </xf>
    <xf numFmtId="4" fontId="13" fillId="29" borderId="16" xfId="0" applyNumberFormat="1" applyFont="1" applyFill="1" applyBorder="1" applyAlignment="1">
      <alignment horizontal="center" vertical="center"/>
    </xf>
    <xf numFmtId="164" fontId="13" fillId="29" borderId="16" xfId="0" applyNumberFormat="1" applyFont="1" applyFill="1" applyBorder="1" applyAlignment="1">
      <alignment horizontal="center" vertical="center"/>
    </xf>
    <xf numFmtId="49" fontId="13" fillId="29" borderId="16" xfId="0" applyNumberFormat="1" applyFont="1" applyFill="1" applyBorder="1" applyAlignment="1">
      <alignment horizontal="center" vertical="center"/>
    </xf>
    <xf numFmtId="0" fontId="6" fillId="29" borderId="16" xfId="0" applyFont="1" applyFill="1" applyBorder="1" applyAlignment="1">
      <alignment horizontal="center" vertical="center" wrapText="1"/>
    </xf>
    <xf numFmtId="0" fontId="2" fillId="29" borderId="16" xfId="0" applyFont="1" applyFill="1" applyBorder="1" applyAlignment="1">
      <alignment horizontal="center" vertical="center"/>
    </xf>
    <xf numFmtId="0" fontId="16" fillId="29" borderId="1" xfId="0" applyFont="1" applyFill="1" applyBorder="1" applyAlignment="1">
      <alignment horizontal="center" vertical="center"/>
    </xf>
    <xf numFmtId="3" fontId="16" fillId="29" borderId="1" xfId="0" applyNumberFormat="1" applyFont="1" applyFill="1" applyBorder="1" applyAlignment="1">
      <alignment horizontal="center" vertical="center"/>
    </xf>
    <xf numFmtId="164" fontId="0" fillId="29" borderId="1" xfId="0" applyNumberFormat="1" applyFill="1" applyBorder="1" applyAlignment="1">
      <alignment horizontal="center" vertical="center"/>
    </xf>
    <xf numFmtId="4" fontId="24" fillId="29" borderId="1" xfId="0" applyNumberFormat="1" applyFont="1" applyFill="1" applyBorder="1" applyAlignment="1">
      <alignment horizontal="center" vertical="center"/>
    </xf>
    <xf numFmtId="0" fontId="11" fillId="29" borderId="1" xfId="0" applyFont="1" applyFill="1" applyBorder="1"/>
    <xf numFmtId="164" fontId="0" fillId="29" borderId="1" xfId="0" applyNumberFormat="1" applyFill="1" applyBorder="1" applyAlignment="1">
      <alignment horizontal="right" vertical="center"/>
    </xf>
    <xf numFmtId="4" fontId="0" fillId="29" borderId="17" xfId="0" applyNumberFormat="1" applyFill="1" applyBorder="1" applyAlignment="1">
      <alignment vertical="center"/>
    </xf>
    <xf numFmtId="164" fontId="0" fillId="29" borderId="17" xfId="0" applyNumberFormat="1" applyFill="1" applyBorder="1" applyAlignment="1">
      <alignment horizontal="center" vertical="center"/>
    </xf>
    <xf numFmtId="14" fontId="13" fillId="29" borderId="17" xfId="0" applyNumberFormat="1" applyFont="1" applyFill="1" applyBorder="1" applyAlignment="1">
      <alignment horizontal="center" vertical="center"/>
    </xf>
    <xf numFmtId="49" fontId="13" fillId="29" borderId="17" xfId="0" applyNumberFormat="1" applyFont="1" applyFill="1" applyBorder="1" applyAlignment="1">
      <alignment horizontal="center" vertical="center"/>
    </xf>
    <xf numFmtId="0" fontId="6" fillId="29" borderId="17" xfId="0" applyFont="1" applyFill="1" applyBorder="1" applyAlignment="1">
      <alignment horizontal="center" vertical="center" wrapText="1"/>
    </xf>
    <xf numFmtId="0" fontId="11" fillId="29" borderId="17" xfId="0" applyFont="1" applyFill="1" applyBorder="1"/>
    <xf numFmtId="0" fontId="18" fillId="29" borderId="1" xfId="0" applyFont="1" applyFill="1" applyBorder="1" applyAlignment="1">
      <alignment horizontal="center" vertical="center" wrapText="1"/>
    </xf>
    <xf numFmtId="49" fontId="0" fillId="30" borderId="1" xfId="0" applyNumberFormat="1" applyFill="1" applyBorder="1" applyAlignment="1">
      <alignment horizontal="center" vertical="center"/>
    </xf>
    <xf numFmtId="3" fontId="18" fillId="30" borderId="0" xfId="0" applyNumberFormat="1" applyFont="1" applyFill="1" applyAlignment="1">
      <alignment horizontal="center" vertical="center"/>
    </xf>
    <xf numFmtId="0" fontId="18" fillId="30" borderId="0" xfId="0" applyFont="1" applyFill="1" applyAlignment="1">
      <alignment horizontal="center" vertical="center" wrapText="1"/>
    </xf>
    <xf numFmtId="164" fontId="0" fillId="30" borderId="1" xfId="0" applyNumberFormat="1" applyFill="1" applyBorder="1" applyAlignment="1">
      <alignment horizontal="right" vertical="center"/>
    </xf>
    <xf numFmtId="4" fontId="0" fillId="30" borderId="1" xfId="0" applyNumberFormat="1" applyFill="1" applyBorder="1" applyAlignment="1">
      <alignment vertical="center"/>
    </xf>
    <xf numFmtId="164" fontId="0" fillId="30" borderId="1" xfId="0" applyNumberFormat="1" applyFill="1" applyBorder="1" applyAlignment="1">
      <alignment horizontal="center" vertical="center"/>
    </xf>
    <xf numFmtId="14" fontId="13" fillId="30" borderId="1" xfId="0" applyNumberFormat="1" applyFont="1" applyFill="1" applyBorder="1" applyAlignment="1">
      <alignment horizontal="center" vertical="center"/>
    </xf>
    <xf numFmtId="49" fontId="13" fillId="30" borderId="1" xfId="0" applyNumberFormat="1" applyFont="1" applyFill="1" applyBorder="1" applyAlignment="1">
      <alignment horizontal="center" vertical="center"/>
    </xf>
    <xf numFmtId="0" fontId="6" fillId="30" borderId="1" xfId="0" applyFont="1" applyFill="1" applyBorder="1" applyAlignment="1">
      <alignment horizontal="center" vertical="center" wrapText="1"/>
    </xf>
    <xf numFmtId="0" fontId="2" fillId="30" borderId="1" xfId="0" applyFont="1" applyFill="1" applyBorder="1" applyAlignment="1">
      <alignment horizontal="center" vertical="center"/>
    </xf>
    <xf numFmtId="49" fontId="0" fillId="30" borderId="16" xfId="0" applyNumberFormat="1" applyFill="1" applyBorder="1" applyAlignment="1">
      <alignment horizontal="center" vertical="center"/>
    </xf>
    <xf numFmtId="0" fontId="20" fillId="30" borderId="16" xfId="0" applyFont="1" applyFill="1" applyBorder="1" applyAlignment="1">
      <alignment horizontal="center" vertical="center"/>
    </xf>
    <xf numFmtId="0" fontId="16" fillId="30" borderId="1" xfId="0" applyFont="1" applyFill="1" applyBorder="1" applyAlignment="1">
      <alignment horizontal="center" vertical="center"/>
    </xf>
    <xf numFmtId="0" fontId="18" fillId="30" borderId="1" xfId="0" applyFont="1" applyFill="1" applyBorder="1" applyAlignment="1">
      <alignment horizontal="center" vertical="center" wrapText="1"/>
    </xf>
    <xf numFmtId="49" fontId="0" fillId="30" borderId="1" xfId="0" applyNumberFormat="1" applyFill="1" applyBorder="1" applyAlignment="1">
      <alignment horizontal="right" vertical="center"/>
    </xf>
    <xf numFmtId="0" fontId="2" fillId="30" borderId="1" xfId="0" applyFont="1" applyFill="1" applyBorder="1" applyAlignment="1">
      <alignment horizontal="center" vertical="center" wrapText="1"/>
    </xf>
    <xf numFmtId="3" fontId="16" fillId="30" borderId="1" xfId="0" applyNumberFormat="1" applyFont="1" applyFill="1" applyBorder="1" applyAlignment="1">
      <alignment horizontal="center" vertical="center"/>
    </xf>
    <xf numFmtId="0" fontId="24" fillId="30" borderId="1" xfId="0" applyFont="1" applyFill="1" applyBorder="1" applyAlignment="1">
      <alignment horizontal="center" vertical="center"/>
    </xf>
    <xf numFmtId="3" fontId="24" fillId="30" borderId="1" xfId="0" applyNumberFormat="1" applyFont="1" applyFill="1" applyBorder="1" applyAlignment="1">
      <alignment horizontal="center" vertical="center"/>
    </xf>
    <xf numFmtId="49" fontId="0" fillId="20" borderId="1" xfId="0" applyNumberFormat="1" applyFill="1" applyBorder="1" applyAlignment="1">
      <alignment horizontal="right" vertical="center"/>
    </xf>
    <xf numFmtId="0" fontId="3" fillId="20" borderId="1" xfId="0" applyFont="1" applyFill="1" applyBorder="1" applyAlignment="1">
      <alignment horizontal="center" vertical="center" wrapText="1"/>
    </xf>
    <xf numFmtId="3" fontId="0" fillId="20" borderId="16" xfId="0" applyNumberFormat="1" applyFill="1" applyBorder="1" applyAlignment="1">
      <alignment horizontal="center" vertical="center"/>
    </xf>
    <xf numFmtId="0" fontId="18" fillId="20" borderId="1" xfId="0" applyFont="1" applyFill="1" applyBorder="1" applyAlignment="1">
      <alignment horizontal="center" vertical="center" wrapText="1"/>
    </xf>
    <xf numFmtId="4" fontId="0" fillId="20" borderId="1" xfId="0" applyNumberFormat="1" applyFill="1" applyBorder="1" applyAlignment="1">
      <alignment horizontal="center" vertical="center"/>
    </xf>
    <xf numFmtId="49" fontId="0" fillId="20" borderId="1" xfId="0" applyNumberFormat="1" applyFill="1" applyBorder="1" applyAlignment="1">
      <alignment vertical="center"/>
    </xf>
    <xf numFmtId="3" fontId="18" fillId="20" borderId="1" xfId="0" applyNumberFormat="1" applyFont="1" applyFill="1" applyBorder="1" applyAlignment="1">
      <alignment horizontal="center" vertical="center"/>
    </xf>
    <xf numFmtId="0" fontId="0" fillId="20" borderId="1" xfId="0" applyFill="1" applyBorder="1" applyAlignment="1">
      <alignment horizontal="center" vertical="center" wrapText="1"/>
    </xf>
    <xf numFmtId="3" fontId="0" fillId="20" borderId="1" xfId="0" applyNumberFormat="1" applyFill="1" applyBorder="1" applyAlignment="1">
      <alignment horizontal="center" vertical="center"/>
    </xf>
    <xf numFmtId="49" fontId="0" fillId="20" borderId="1" xfId="0" applyNumberFormat="1" applyFill="1" applyBorder="1" applyAlignment="1">
      <alignment horizontal="center" vertical="center"/>
    </xf>
    <xf numFmtId="3" fontId="20" fillId="20" borderId="1" xfId="0" applyNumberFormat="1" applyFont="1" applyFill="1" applyBorder="1" applyAlignment="1">
      <alignment horizontal="center" vertical="center"/>
    </xf>
    <xf numFmtId="0" fontId="0" fillId="20" borderId="1" xfId="0" applyFill="1" applyBorder="1" applyAlignment="1">
      <alignment vertical="center" wrapText="1"/>
    </xf>
    <xf numFmtId="49" fontId="13" fillId="20" borderId="1" xfId="0" applyNumberFormat="1" applyFont="1" applyFill="1" applyBorder="1" applyAlignment="1">
      <alignment horizontal="center" vertical="center"/>
    </xf>
    <xf numFmtId="0" fontId="6" fillId="20" borderId="1" xfId="0" applyFont="1" applyFill="1" applyBorder="1" applyAlignment="1">
      <alignment horizontal="center" vertical="center" wrapText="1"/>
    </xf>
    <xf numFmtId="0" fontId="2" fillId="20" borderId="1" xfId="0" applyFont="1" applyFill="1" applyBorder="1" applyAlignment="1">
      <alignment horizontal="center" vertical="center"/>
    </xf>
    <xf numFmtId="0" fontId="11" fillId="20" borderId="1" xfId="0" applyFont="1" applyFill="1" applyBorder="1"/>
    <xf numFmtId="49" fontId="0" fillId="31" borderId="1" xfId="0" applyNumberFormat="1" applyFill="1" applyBorder="1" applyAlignment="1">
      <alignment horizontal="right" vertical="center"/>
    </xf>
    <xf numFmtId="0" fontId="0" fillId="31" borderId="1" xfId="0" applyFill="1" applyBorder="1" applyAlignment="1">
      <alignment vertical="center" wrapText="1"/>
    </xf>
    <xf numFmtId="3" fontId="0" fillId="31" borderId="1" xfId="0" applyNumberFormat="1" applyFill="1" applyBorder="1" applyAlignment="1">
      <alignment horizontal="center" vertical="center"/>
    </xf>
    <xf numFmtId="0" fontId="10" fillId="31" borderId="1" xfId="0" applyFont="1" applyFill="1" applyBorder="1" applyAlignment="1">
      <alignment horizontal="center" wrapText="1"/>
    </xf>
    <xf numFmtId="4" fontId="0" fillId="31" borderId="1" xfId="0" applyNumberFormat="1" applyFill="1" applyBorder="1" applyAlignment="1">
      <alignment horizontal="center" vertical="center"/>
    </xf>
    <xf numFmtId="4" fontId="0" fillId="31" borderId="1" xfId="0" applyNumberFormat="1" applyFill="1" applyBorder="1" applyAlignment="1">
      <alignment vertical="center"/>
    </xf>
    <xf numFmtId="164" fontId="0" fillId="31" borderId="1" xfId="0" applyNumberFormat="1" applyFill="1" applyBorder="1" applyAlignment="1">
      <alignment horizontal="center" vertical="center"/>
    </xf>
    <xf numFmtId="14" fontId="13" fillId="31" borderId="1" xfId="0" applyNumberFormat="1" applyFont="1" applyFill="1" applyBorder="1" applyAlignment="1">
      <alignment horizontal="center" vertical="center"/>
    </xf>
    <xf numFmtId="49" fontId="13" fillId="31" borderId="1" xfId="0" applyNumberFormat="1" applyFont="1" applyFill="1" applyBorder="1" applyAlignment="1">
      <alignment horizontal="center" vertical="center"/>
    </xf>
    <xf numFmtId="0" fontId="6" fillId="31" borderId="1" xfId="0" applyFont="1" applyFill="1" applyBorder="1" applyAlignment="1">
      <alignment horizontal="center" vertical="center" wrapText="1"/>
    </xf>
    <xf numFmtId="0" fontId="2" fillId="31" borderId="1" xfId="0" applyFont="1" applyFill="1" applyBorder="1" applyAlignment="1">
      <alignment horizontal="center" vertical="center"/>
    </xf>
    <xf numFmtId="0" fontId="0" fillId="31" borderId="1" xfId="0" applyFill="1" applyBorder="1" applyAlignment="1">
      <alignment horizontal="left" vertical="center" wrapText="1"/>
    </xf>
    <xf numFmtId="164" fontId="0" fillId="31" borderId="1" xfId="0" applyNumberFormat="1" applyFill="1" applyBorder="1" applyAlignment="1">
      <alignment horizontal="right" vertical="center"/>
    </xf>
    <xf numFmtId="49" fontId="0" fillId="32" borderId="1" xfId="0" applyNumberFormat="1" applyFill="1" applyBorder="1" applyAlignment="1">
      <alignment horizontal="right" vertical="center"/>
    </xf>
    <xf numFmtId="0" fontId="0" fillId="32" borderId="1" xfId="0" applyFill="1" applyBorder="1" applyAlignment="1">
      <alignment vertical="center" wrapText="1"/>
    </xf>
    <xf numFmtId="3" fontId="0" fillId="32" borderId="1" xfId="0" applyNumberFormat="1" applyFill="1" applyBorder="1" applyAlignment="1">
      <alignment horizontal="center" vertical="center"/>
    </xf>
    <xf numFmtId="0" fontId="10" fillId="32" borderId="1" xfId="0" applyFont="1" applyFill="1" applyBorder="1" applyAlignment="1">
      <alignment horizontal="center" wrapText="1"/>
    </xf>
    <xf numFmtId="164" fontId="0" fillId="32" borderId="1" xfId="0" applyNumberFormat="1" applyFill="1" applyBorder="1" applyAlignment="1">
      <alignment horizontal="right" vertical="center"/>
    </xf>
    <xf numFmtId="4" fontId="0" fillId="32" borderId="1" xfId="0" applyNumberFormat="1" applyFill="1" applyBorder="1" applyAlignment="1">
      <alignment vertical="center"/>
    </xf>
    <xf numFmtId="14" fontId="13" fillId="32" borderId="1" xfId="0" applyNumberFormat="1" applyFont="1" applyFill="1" applyBorder="1" applyAlignment="1">
      <alignment horizontal="center" vertical="center" wrapText="1"/>
    </xf>
    <xf numFmtId="49" fontId="13" fillId="32" borderId="1" xfId="0" applyNumberFormat="1" applyFont="1" applyFill="1" applyBorder="1" applyAlignment="1">
      <alignment horizontal="center" vertical="center"/>
    </xf>
    <xf numFmtId="14" fontId="13" fillId="32" borderId="1" xfId="0" applyNumberFormat="1" applyFont="1" applyFill="1" applyBorder="1" applyAlignment="1">
      <alignment horizontal="center" vertical="center"/>
    </xf>
    <xf numFmtId="0" fontId="6" fillId="32" borderId="1" xfId="0" applyFont="1" applyFill="1" applyBorder="1" applyAlignment="1">
      <alignment horizontal="center" vertical="center" wrapText="1"/>
    </xf>
    <xf numFmtId="0" fontId="2" fillId="32" borderId="1" xfId="0" applyFont="1" applyFill="1" applyBorder="1" applyAlignment="1">
      <alignment horizontal="center" vertical="center"/>
    </xf>
    <xf numFmtId="49" fontId="0" fillId="32" borderId="1" xfId="0" applyNumberFormat="1" applyFill="1" applyBorder="1" applyAlignment="1">
      <alignment horizontal="center" vertical="center"/>
    </xf>
    <xf numFmtId="0" fontId="10" fillId="32" borderId="1" xfId="0" applyFont="1" applyFill="1" applyBorder="1" applyAlignment="1">
      <alignment horizontal="center" vertical="center" wrapText="1"/>
    </xf>
    <xf numFmtId="0" fontId="3" fillId="32" borderId="1" xfId="0" applyFont="1" applyFill="1" applyBorder="1" applyAlignment="1">
      <alignment vertical="center" wrapText="1"/>
    </xf>
    <xf numFmtId="3" fontId="0" fillId="32" borderId="1" xfId="0" applyNumberFormat="1" applyFill="1" applyBorder="1" applyAlignment="1">
      <alignment horizontal="center" vertical="center" wrapText="1"/>
    </xf>
    <xf numFmtId="0" fontId="18" fillId="32" borderId="1" xfId="0" applyFont="1" applyFill="1" applyBorder="1" applyAlignment="1">
      <alignment horizontal="center" wrapText="1"/>
    </xf>
    <xf numFmtId="164" fontId="0" fillId="32" borderId="1" xfId="0" applyNumberFormat="1" applyFill="1" applyBorder="1" applyAlignment="1">
      <alignment horizontal="center" vertical="center" wrapText="1"/>
    </xf>
    <xf numFmtId="4" fontId="0" fillId="32" borderId="1" xfId="0" applyNumberFormat="1" applyFill="1" applyBorder="1" applyAlignment="1">
      <alignment vertical="center" wrapText="1"/>
    </xf>
    <xf numFmtId="49" fontId="13" fillId="32" borderId="1" xfId="0" applyNumberFormat="1" applyFont="1" applyFill="1" applyBorder="1" applyAlignment="1">
      <alignment horizontal="center" vertical="center" wrapText="1"/>
    </xf>
    <xf numFmtId="0" fontId="16" fillId="32" borderId="1" xfId="0" applyFont="1" applyFill="1" applyBorder="1" applyAlignment="1">
      <alignment horizontal="center" vertical="center" wrapText="1"/>
    </xf>
    <xf numFmtId="49" fontId="3" fillId="33" borderId="1" xfId="0" applyNumberFormat="1" applyFont="1" applyFill="1" applyBorder="1" applyAlignment="1">
      <alignment horizontal="right" vertical="center"/>
    </xf>
    <xf numFmtId="0" fontId="0" fillId="33" borderId="1" xfId="0" applyFill="1" applyBorder="1" applyAlignment="1">
      <alignment vertical="center" wrapText="1"/>
    </xf>
    <xf numFmtId="3" fontId="12" fillId="33" borderId="1" xfId="0" applyNumberFormat="1" applyFont="1" applyFill="1" applyBorder="1" applyAlignment="1">
      <alignment horizontal="center" vertical="center"/>
    </xf>
    <xf numFmtId="164" fontId="0" fillId="33" borderId="1" xfId="0" applyNumberFormat="1" applyFill="1" applyBorder="1" applyAlignment="1">
      <alignment horizontal="right" vertical="center"/>
    </xf>
    <xf numFmtId="4" fontId="0" fillId="33" borderId="1" xfId="0" applyNumberFormat="1" applyFill="1" applyBorder="1" applyAlignment="1">
      <alignment vertical="center"/>
    </xf>
    <xf numFmtId="14" fontId="13" fillId="33" borderId="1" xfId="0" applyNumberFormat="1" applyFont="1" applyFill="1" applyBorder="1" applyAlignment="1">
      <alignment horizontal="center" vertical="center" wrapText="1"/>
    </xf>
    <xf numFmtId="14" fontId="13" fillId="33" borderId="1" xfId="0" applyNumberFormat="1" applyFont="1" applyFill="1" applyBorder="1" applyAlignment="1">
      <alignment horizontal="center" vertical="center"/>
    </xf>
    <xf numFmtId="49" fontId="13" fillId="33" borderId="1" xfId="0" applyNumberFormat="1" applyFont="1" applyFill="1" applyBorder="1" applyAlignment="1">
      <alignment horizontal="center" vertical="center"/>
    </xf>
    <xf numFmtId="0" fontId="6" fillId="33" borderId="1" xfId="0" applyFont="1" applyFill="1" applyBorder="1" applyAlignment="1">
      <alignment horizontal="center" vertical="center" wrapText="1"/>
    </xf>
    <xf numFmtId="0" fontId="2" fillId="33" borderId="1" xfId="0" applyFont="1" applyFill="1" applyBorder="1" applyAlignment="1">
      <alignment horizontal="center" vertical="center"/>
    </xf>
    <xf numFmtId="49" fontId="0" fillId="33" borderId="1" xfId="0" applyNumberFormat="1" applyFill="1" applyBorder="1" applyAlignment="1">
      <alignment horizontal="right" vertical="center"/>
    </xf>
    <xf numFmtId="3" fontId="0" fillId="33" borderId="1" xfId="0" applyNumberFormat="1" applyFill="1" applyBorder="1" applyAlignment="1">
      <alignment horizontal="center" vertical="center"/>
    </xf>
    <xf numFmtId="0" fontId="10" fillId="33" borderId="1" xfId="0" applyFont="1" applyFill="1" applyBorder="1" applyAlignment="1">
      <alignment horizontal="center" vertical="center" wrapText="1"/>
    </xf>
    <xf numFmtId="0" fontId="15" fillId="33" borderId="1" xfId="0" applyFont="1" applyFill="1" applyBorder="1" applyAlignment="1">
      <alignment horizontal="center" vertical="center" wrapText="1"/>
    </xf>
    <xf numFmtId="0" fontId="0" fillId="33" borderId="1" xfId="0" applyFill="1" applyBorder="1" applyAlignment="1">
      <alignment vertical="center"/>
    </xf>
    <xf numFmtId="43" fontId="0" fillId="33" borderId="1" xfId="0" applyNumberFormat="1" applyFill="1" applyBorder="1" applyAlignment="1">
      <alignment vertical="center"/>
    </xf>
    <xf numFmtId="0" fontId="26" fillId="33" borderId="1" xfId="0" applyFont="1" applyFill="1" applyBorder="1" applyAlignment="1">
      <alignment horizontal="center" vertical="center" wrapText="1"/>
    </xf>
    <xf numFmtId="43" fontId="0" fillId="33" borderId="1" xfId="1" applyFont="1" applyFill="1" applyBorder="1" applyAlignment="1">
      <alignment vertical="center"/>
    </xf>
    <xf numFmtId="14" fontId="14" fillId="33" borderId="1" xfId="0" applyNumberFormat="1" applyFont="1" applyFill="1" applyBorder="1" applyAlignment="1">
      <alignment horizontal="center" vertical="center"/>
    </xf>
    <xf numFmtId="16" fontId="13" fillId="33" borderId="1" xfId="0" applyNumberFormat="1" applyFont="1" applyFill="1" applyBorder="1" applyAlignment="1">
      <alignment horizontal="center" vertical="center"/>
    </xf>
    <xf numFmtId="3" fontId="26" fillId="33" borderId="1" xfId="0" applyNumberFormat="1" applyFont="1" applyFill="1" applyBorder="1" applyAlignment="1">
      <alignment horizontal="center" vertical="center"/>
    </xf>
    <xf numFmtId="4" fontId="3" fillId="33" borderId="1" xfId="0" applyNumberFormat="1" applyFont="1" applyFill="1" applyBorder="1" applyAlignment="1">
      <alignment horizontal="right" vertical="center"/>
    </xf>
    <xf numFmtId="0" fontId="0" fillId="33" borderId="1" xfId="0" applyFill="1" applyBorder="1" applyAlignment="1">
      <alignment horizontal="center" vertical="center"/>
    </xf>
    <xf numFmtId="4" fontId="3" fillId="33" borderId="1" xfId="0" applyNumberFormat="1" applyFont="1" applyFill="1" applyBorder="1" applyAlignment="1">
      <alignment vertical="center"/>
    </xf>
    <xf numFmtId="0" fontId="7" fillId="33" borderId="1" xfId="0" applyFont="1" applyFill="1" applyBorder="1" applyAlignment="1">
      <alignment horizontal="center" vertical="center" wrapText="1"/>
    </xf>
    <xf numFmtId="3" fontId="3" fillId="33" borderId="1" xfId="0" applyNumberFormat="1" applyFont="1" applyFill="1" applyBorder="1" applyAlignment="1">
      <alignment horizontal="center" vertical="center"/>
    </xf>
    <xf numFmtId="3" fontId="7" fillId="33" borderId="1" xfId="0" applyNumberFormat="1" applyFont="1" applyFill="1" applyBorder="1" applyAlignment="1">
      <alignment horizontal="center" vertical="center"/>
    </xf>
    <xf numFmtId="0" fontId="18" fillId="33" borderId="1" xfId="0" applyFont="1" applyFill="1" applyBorder="1" applyAlignment="1">
      <alignment horizontal="center" vertical="center" wrapText="1"/>
    </xf>
    <xf numFmtId="0" fontId="16" fillId="33" borderId="1" xfId="0" applyFont="1" applyFill="1" applyBorder="1" applyAlignment="1">
      <alignment vertical="center" wrapText="1"/>
    </xf>
    <xf numFmtId="0" fontId="33" fillId="33" borderId="1" xfId="0" applyFont="1" applyFill="1" applyBorder="1" applyAlignment="1">
      <alignment horizontal="center" vertical="center" wrapText="1"/>
    </xf>
    <xf numFmtId="0" fontId="34" fillId="33" borderId="1" xfId="0" applyFont="1" applyFill="1" applyBorder="1" applyAlignment="1">
      <alignment horizontal="justify" vertical="center"/>
    </xf>
    <xf numFmtId="0" fontId="34" fillId="33"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16" fontId="13"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xf>
    <xf numFmtId="14" fontId="25" fillId="2" borderId="1" xfId="0" applyNumberFormat="1" applyFont="1" applyFill="1" applyBorder="1" applyAlignment="1">
      <alignment horizontal="center" vertical="center"/>
    </xf>
    <xf numFmtId="14" fontId="25" fillId="2" borderId="1" xfId="0" applyNumberFormat="1" applyFont="1" applyFill="1" applyBorder="1" applyAlignment="1">
      <alignment horizontal="center" vertical="center" wrapText="1"/>
    </xf>
    <xf numFmtId="49" fontId="25" fillId="2" borderId="1" xfId="0" applyNumberFormat="1" applyFont="1" applyFill="1" applyBorder="1" applyAlignment="1">
      <alignment horizontal="center" vertical="center"/>
    </xf>
    <xf numFmtId="16" fontId="25" fillId="2" borderId="1" xfId="0" applyNumberFormat="1" applyFont="1" applyFill="1" applyBorder="1" applyAlignment="1">
      <alignment horizontal="center" vertical="center"/>
    </xf>
    <xf numFmtId="3" fontId="25" fillId="2" borderId="1" xfId="0" applyNumberFormat="1" applyFont="1" applyFill="1" applyBorder="1" applyAlignment="1">
      <alignment horizontal="center" vertical="center"/>
    </xf>
    <xf numFmtId="164" fontId="25" fillId="2" borderId="1" xfId="0" applyNumberFormat="1" applyFont="1" applyFill="1" applyBorder="1" applyAlignment="1">
      <alignment horizontal="right" vertical="center"/>
    </xf>
    <xf numFmtId="4" fontId="25" fillId="2" borderId="1" xfId="0" applyNumberFormat="1" applyFont="1" applyFill="1" applyBorder="1" applyAlignment="1">
      <alignment vertical="center"/>
    </xf>
    <xf numFmtId="0" fontId="35"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4" fontId="25" fillId="2" borderId="1" xfId="0" applyNumberFormat="1" applyFont="1" applyFill="1" applyBorder="1" applyAlignment="1">
      <alignment horizontal="center" vertical="center"/>
    </xf>
    <xf numFmtId="14" fontId="31" fillId="2" borderId="1" xfId="0" applyNumberFormat="1" applyFont="1" applyFill="1" applyBorder="1" applyAlignment="1">
      <alignment horizontal="center" vertical="center"/>
    </xf>
    <xf numFmtId="49" fontId="31" fillId="2" borderId="1" xfId="0" applyNumberFormat="1" applyFont="1" applyFill="1" applyBorder="1" applyAlignment="1">
      <alignment horizontal="center" vertical="center"/>
    </xf>
    <xf numFmtId="16" fontId="31" fillId="2" borderId="1" xfId="0" applyNumberFormat="1" applyFont="1" applyFill="1" applyBorder="1" applyAlignment="1">
      <alignment horizontal="center" vertical="center"/>
    </xf>
    <xf numFmtId="0" fontId="31" fillId="2" borderId="1" xfId="0" applyFont="1" applyFill="1" applyBorder="1" applyAlignment="1">
      <alignment vertical="center" wrapText="1"/>
    </xf>
    <xf numFmtId="164"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wrapText="1"/>
    </xf>
    <xf numFmtId="49" fontId="25" fillId="2" borderId="1" xfId="0" applyNumberFormat="1" applyFont="1" applyFill="1" applyBorder="1" applyAlignment="1">
      <alignment horizontal="right" vertical="center"/>
    </xf>
    <xf numFmtId="0" fontId="25" fillId="32" borderId="1" xfId="0" applyFont="1" applyFill="1" applyBorder="1" applyAlignment="1">
      <alignment horizontal="center" vertical="center"/>
    </xf>
    <xf numFmtId="3" fontId="25" fillId="32" borderId="1" xfId="0" applyNumberFormat="1" applyFont="1" applyFill="1" applyBorder="1" applyAlignment="1">
      <alignment vertical="center"/>
    </xf>
    <xf numFmtId="0" fontId="25" fillId="32" borderId="1" xfId="0" applyFont="1" applyFill="1" applyBorder="1" applyAlignment="1">
      <alignment horizontal="justify" vertical="center"/>
    </xf>
    <xf numFmtId="4" fontId="25" fillId="32" borderId="1" xfId="0" applyNumberFormat="1" applyFont="1" applyFill="1" applyBorder="1" applyAlignment="1">
      <alignment horizontal="center" vertical="center"/>
    </xf>
    <xf numFmtId="4" fontId="13" fillId="32" borderId="1" xfId="0" applyNumberFormat="1" applyFont="1" applyFill="1" applyBorder="1" applyAlignment="1">
      <alignment horizontal="center" vertical="center"/>
    </xf>
    <xf numFmtId="14" fontId="25" fillId="32" borderId="1" xfId="0" applyNumberFormat="1" applyFont="1" applyFill="1" applyBorder="1" applyAlignment="1">
      <alignment horizontal="center" vertical="center"/>
    </xf>
    <xf numFmtId="0" fontId="13" fillId="32" borderId="1" xfId="0" applyFont="1" applyFill="1" applyBorder="1" applyAlignment="1">
      <alignment horizontal="center" vertical="center"/>
    </xf>
    <xf numFmtId="0" fontId="0" fillId="32" borderId="1" xfId="0" applyFill="1" applyBorder="1" applyAlignment="1">
      <alignment horizontal="center"/>
    </xf>
    <xf numFmtId="3" fontId="25" fillId="32" borderId="1" xfId="0" applyNumberFormat="1" applyFont="1" applyFill="1" applyBorder="1" applyAlignment="1">
      <alignment horizontal="center" vertical="center"/>
    </xf>
    <xf numFmtId="0" fontId="25" fillId="32" borderId="1" xfId="0" applyFont="1" applyFill="1" applyBorder="1" applyAlignment="1">
      <alignment horizontal="center" vertical="center" wrapText="1"/>
    </xf>
    <xf numFmtId="0" fontId="25" fillId="20" borderId="1" xfId="0" applyFont="1" applyFill="1" applyBorder="1" applyAlignment="1">
      <alignment horizontal="center" vertical="center"/>
    </xf>
    <xf numFmtId="3" fontId="25" fillId="20" borderId="1" xfId="0" applyNumberFormat="1" applyFont="1" applyFill="1" applyBorder="1" applyAlignment="1">
      <alignment horizontal="center" vertical="center"/>
    </xf>
    <xf numFmtId="0" fontId="25" fillId="20" borderId="1" xfId="0" applyFont="1" applyFill="1" applyBorder="1" applyAlignment="1">
      <alignment horizontal="center" vertical="center" wrapText="1"/>
    </xf>
    <xf numFmtId="4" fontId="25" fillId="20" borderId="1" xfId="0" applyNumberFormat="1" applyFont="1" applyFill="1" applyBorder="1" applyAlignment="1">
      <alignment horizontal="center" vertical="center"/>
    </xf>
    <xf numFmtId="14" fontId="25" fillId="20" borderId="1" xfId="0" applyNumberFormat="1" applyFont="1" applyFill="1" applyBorder="1" applyAlignment="1">
      <alignment horizontal="center" vertical="center"/>
    </xf>
    <xf numFmtId="0" fontId="13" fillId="20" borderId="1" xfId="0" applyFont="1" applyFill="1" applyBorder="1" applyAlignment="1">
      <alignment horizontal="center" vertical="center"/>
    </xf>
    <xf numFmtId="0" fontId="0" fillId="20" borderId="1" xfId="0" applyFill="1" applyBorder="1" applyAlignment="1">
      <alignment horizontal="center"/>
    </xf>
    <xf numFmtId="0" fontId="0" fillId="4" borderId="0" xfId="0" applyFill="1" applyAlignment="1">
      <alignment horizontal="center"/>
    </xf>
    <xf numFmtId="0" fontId="0" fillId="7" borderId="14" xfId="0" applyFill="1" applyBorder="1" applyAlignment="1">
      <alignment horizontal="center"/>
    </xf>
    <xf numFmtId="0" fontId="0" fillId="7" borderId="3" xfId="0" applyFill="1" applyBorder="1" applyAlignment="1">
      <alignment horizontal="center"/>
    </xf>
    <xf numFmtId="0" fontId="0" fillId="8" borderId="1" xfId="0" applyFill="1" applyBorder="1" applyAlignment="1">
      <alignment horizontal="center"/>
    </xf>
    <xf numFmtId="0" fontId="1" fillId="12" borderId="2" xfId="0" applyFont="1" applyFill="1" applyBorder="1" applyAlignment="1">
      <alignment horizontal="center"/>
    </xf>
    <xf numFmtId="0" fontId="1" fillId="12" borderId="3" xfId="0" applyFont="1" applyFill="1" applyBorder="1" applyAlignment="1">
      <alignment horizontal="center"/>
    </xf>
    <xf numFmtId="0" fontId="1" fillId="12" borderId="4" xfId="0" applyFont="1" applyFill="1" applyBorder="1" applyAlignment="1">
      <alignment horizontal="center"/>
    </xf>
    <xf numFmtId="0" fontId="0" fillId="12" borderId="3" xfId="0" applyFill="1" applyBorder="1" applyAlignment="1">
      <alignment horizontal="center"/>
    </xf>
    <xf numFmtId="0" fontId="0" fillId="3" borderId="0" xfId="0" applyFill="1" applyAlignment="1">
      <alignment horizontal="center"/>
    </xf>
    <xf numFmtId="0" fontId="0" fillId="6" borderId="0" xfId="0" applyFill="1" applyAlignment="1">
      <alignment horizontal="center"/>
    </xf>
    <xf numFmtId="0" fontId="28" fillId="0" borderId="24" xfId="0" applyFont="1" applyBorder="1" applyAlignment="1">
      <alignment horizont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8" fillId="13" borderId="16" xfId="0" applyFont="1" applyFill="1" applyBorder="1" applyAlignment="1">
      <alignment horizontal="center" vertical="center" wrapText="1"/>
    </xf>
    <xf numFmtId="0" fontId="8" fillId="13" borderId="17" xfId="0" applyFont="1" applyFill="1" applyBorder="1" applyAlignment="1">
      <alignment horizontal="center" vertical="center" wrapText="1"/>
    </xf>
    <xf numFmtId="49" fontId="0" fillId="15" borderId="1" xfId="0" applyNumberFormat="1" applyFill="1" applyBorder="1" applyAlignment="1">
      <alignment horizontal="right"/>
    </xf>
    <xf numFmtId="0" fontId="0" fillId="15" borderId="16" xfId="0" applyFill="1" applyBorder="1" applyAlignment="1">
      <alignment horizontal="center" vertical="center" wrapText="1"/>
    </xf>
    <xf numFmtId="0" fontId="0" fillId="15" borderId="17" xfId="0" applyFill="1" applyBorder="1" applyAlignment="1">
      <alignment horizontal="center" vertical="center" wrapText="1"/>
    </xf>
    <xf numFmtId="3" fontId="0" fillId="15" borderId="16" xfId="0" applyNumberFormat="1" applyFill="1" applyBorder="1" applyAlignment="1">
      <alignment horizontal="center" vertical="center"/>
    </xf>
    <xf numFmtId="3" fontId="0" fillId="15" borderId="17" xfId="0" applyNumberFormat="1" applyFill="1" applyBorder="1" applyAlignment="1">
      <alignment horizontal="center" vertical="center"/>
    </xf>
    <xf numFmtId="164" fontId="0" fillId="15" borderId="16" xfId="0" applyNumberFormat="1" applyFill="1" applyBorder="1" applyAlignment="1">
      <alignment horizontal="center" vertical="center"/>
    </xf>
    <xf numFmtId="164" fontId="0" fillId="15" borderId="17" xfId="0" applyNumberFormat="1" applyFill="1" applyBorder="1" applyAlignment="1">
      <alignment horizontal="center" vertical="center"/>
    </xf>
    <xf numFmtId="0" fontId="7"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3" fontId="7" fillId="5" borderId="16" xfId="0" applyNumberFormat="1" applyFont="1" applyFill="1" applyBorder="1" applyAlignment="1">
      <alignment horizontal="center" vertical="center" wrapText="1"/>
    </xf>
    <xf numFmtId="3" fontId="7" fillId="5" borderId="17" xfId="0"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FFFF99"/>
      <color rgb="FF99FF99"/>
      <color rgb="FF00FF99"/>
      <color rgb="FFFFFFCC"/>
      <color rgb="FF66FFFF"/>
      <color rgb="FFCCFF99"/>
      <color rgb="FF66FFCC"/>
      <color rgb="FFFF66CC"/>
      <color rgb="FFFFCC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80"/>
  <sheetViews>
    <sheetView tabSelected="1" zoomScale="75" zoomScaleNormal="75" workbookViewId="0">
      <pane xSplit="3" ySplit="3" topLeftCell="F79" activePane="bottomRight" state="frozen"/>
      <selection pane="topRight" activeCell="D1" sqref="D1"/>
      <selection pane="bottomLeft" activeCell="A4" sqref="A4"/>
      <selection pane="bottomRight" activeCell="H83" sqref="H83"/>
    </sheetView>
  </sheetViews>
  <sheetFormatPr baseColWidth="10" defaultRowHeight="15" x14ac:dyDescent="0.25"/>
  <cols>
    <col min="1" max="1" width="11.5703125" style="24" customWidth="1"/>
    <col min="2" max="2" width="53.140625" style="24" customWidth="1"/>
    <col min="3" max="3" width="19.85546875" style="25" customWidth="1"/>
    <col min="4" max="4" width="56.42578125" style="24" customWidth="1"/>
    <col min="5" max="5" width="18.85546875" style="24" customWidth="1"/>
    <col min="6" max="7" width="16.140625" style="24" customWidth="1"/>
    <col min="8" max="8" width="18.7109375" style="24" customWidth="1"/>
    <col min="9" max="9" width="13" style="24" customWidth="1"/>
    <col min="10" max="10" width="12.85546875" style="24" customWidth="1"/>
    <col min="11" max="11" width="13.140625" style="24" customWidth="1"/>
    <col min="12" max="12" width="13.42578125" style="24" customWidth="1"/>
    <col min="13" max="13" width="11.28515625" style="24" customWidth="1"/>
    <col min="14" max="14" width="13.42578125" style="24" customWidth="1"/>
    <col min="15" max="15" width="7.5703125" style="24" customWidth="1"/>
    <col min="16" max="16" width="8.140625" style="24" customWidth="1"/>
    <col min="17" max="28" width="4.5703125" customWidth="1"/>
    <col min="29" max="52" width="4.42578125" customWidth="1"/>
    <col min="53" max="55" width="5" customWidth="1"/>
    <col min="56" max="56" width="6.28515625" customWidth="1"/>
    <col min="57" max="57" width="6.42578125" customWidth="1"/>
    <col min="58" max="58" width="6.140625" customWidth="1"/>
    <col min="59" max="59" width="6.7109375" customWidth="1"/>
    <col min="60" max="60" width="6.140625" customWidth="1"/>
    <col min="61" max="61" width="5.85546875" customWidth="1"/>
    <col min="62" max="62" width="6.28515625" customWidth="1"/>
    <col min="63" max="63" width="6.42578125" customWidth="1"/>
    <col min="64" max="64" width="6.140625" customWidth="1"/>
    <col min="65" max="65" width="6.7109375" customWidth="1"/>
    <col min="66" max="66" width="7.42578125" customWidth="1"/>
    <col min="67" max="67" width="5.85546875" customWidth="1"/>
    <col min="68" max="68" width="6.28515625" customWidth="1"/>
    <col min="69" max="69" width="6.42578125" customWidth="1"/>
    <col min="70" max="70" width="6.140625" customWidth="1"/>
    <col min="71" max="71" width="6.7109375" customWidth="1"/>
    <col min="72" max="72" width="6.140625" customWidth="1"/>
    <col min="73" max="73" width="5.85546875" customWidth="1"/>
    <col min="74" max="74" width="6.28515625" customWidth="1"/>
    <col min="75" max="75" width="6.42578125" customWidth="1"/>
    <col min="76" max="76" width="6.140625" customWidth="1"/>
    <col min="77" max="77" width="6.7109375" customWidth="1"/>
    <col min="78" max="78" width="6.140625" customWidth="1"/>
    <col min="79" max="79" width="5.85546875" customWidth="1"/>
    <col min="80" max="80" width="6.28515625" customWidth="1"/>
    <col min="81" max="81" width="6.42578125" customWidth="1"/>
    <col min="82" max="82" width="6.140625" customWidth="1"/>
    <col min="83" max="83" width="6.7109375" customWidth="1"/>
    <col min="84" max="84" width="6.140625" customWidth="1"/>
    <col min="85" max="85" width="5.85546875" customWidth="1"/>
    <col min="86" max="86" width="6.28515625" customWidth="1"/>
  </cols>
  <sheetData>
    <row r="1" spans="1:70" ht="24" thickBot="1" x14ac:dyDescent="0.4">
      <c r="A1" s="477" t="s">
        <v>260</v>
      </c>
      <c r="B1" s="478"/>
      <c r="C1" s="478"/>
      <c r="D1" s="478"/>
      <c r="E1" s="478"/>
      <c r="F1" s="478"/>
      <c r="G1" s="478"/>
      <c r="H1" s="478"/>
      <c r="I1" s="478"/>
      <c r="J1" s="478"/>
      <c r="K1" s="478"/>
      <c r="L1" s="478"/>
      <c r="M1" s="478"/>
      <c r="N1" s="478"/>
      <c r="O1" s="478"/>
      <c r="P1" s="479"/>
    </row>
    <row r="2" spans="1:70" ht="69.75" customHeight="1" thickBot="1" x14ac:dyDescent="0.3">
      <c r="K2" s="480" t="s">
        <v>17</v>
      </c>
      <c r="L2" s="480"/>
      <c r="M2" s="480" t="s">
        <v>20</v>
      </c>
      <c r="N2" s="480"/>
      <c r="Q2" s="481" t="s">
        <v>41</v>
      </c>
      <c r="R2" s="481"/>
      <c r="S2" s="481"/>
      <c r="T2" s="481"/>
      <c r="U2" s="481"/>
      <c r="V2" s="481"/>
      <c r="W2" s="481"/>
      <c r="X2" s="481"/>
      <c r="Y2" s="481"/>
      <c r="Z2" s="481"/>
      <c r="AA2" s="481"/>
      <c r="AB2" s="481"/>
      <c r="AC2" s="482" t="s">
        <v>44</v>
      </c>
      <c r="AD2" s="482"/>
      <c r="AE2" s="482"/>
      <c r="AF2" s="482"/>
      <c r="AG2" s="482"/>
      <c r="AH2" s="482"/>
      <c r="AI2" s="482"/>
      <c r="AJ2" s="482"/>
      <c r="AK2" s="482"/>
      <c r="AL2" s="482"/>
      <c r="AM2" s="482"/>
      <c r="AN2" s="482"/>
      <c r="AO2" s="473" t="s">
        <v>49</v>
      </c>
      <c r="AP2" s="473"/>
      <c r="AQ2" s="473"/>
      <c r="AR2" s="473"/>
      <c r="AS2" s="473"/>
      <c r="AT2" s="473"/>
      <c r="AU2" s="473"/>
      <c r="AV2" s="473"/>
      <c r="AW2" s="473"/>
      <c r="AX2" s="473"/>
      <c r="AY2" s="473"/>
      <c r="AZ2" s="473"/>
      <c r="BA2" s="474" t="s">
        <v>45</v>
      </c>
      <c r="BB2" s="475"/>
      <c r="BC2" s="475"/>
      <c r="BD2" s="476" t="s">
        <v>50</v>
      </c>
      <c r="BE2" s="476"/>
      <c r="BF2" s="476"/>
      <c r="BG2" s="476"/>
      <c r="BH2" s="476"/>
      <c r="BI2" s="476"/>
      <c r="BJ2" s="476"/>
      <c r="BK2" s="476"/>
      <c r="BL2" s="476"/>
      <c r="BM2" s="476"/>
      <c r="BN2" s="476"/>
      <c r="BO2" s="476"/>
      <c r="BP2" s="476"/>
      <c r="BQ2" s="476"/>
    </row>
    <row r="3" spans="1:70" ht="41.25" customHeight="1" thickBot="1" x14ac:dyDescent="0.3">
      <c r="A3" s="27" t="s">
        <v>0</v>
      </c>
      <c r="B3" s="28" t="s">
        <v>143</v>
      </c>
      <c r="C3" s="29" t="s">
        <v>8</v>
      </c>
      <c r="D3" s="28" t="s">
        <v>1</v>
      </c>
      <c r="E3" s="28" t="s">
        <v>2</v>
      </c>
      <c r="F3" s="28" t="s">
        <v>6</v>
      </c>
      <c r="G3" s="28" t="s">
        <v>214</v>
      </c>
      <c r="H3" s="28" t="s">
        <v>215</v>
      </c>
      <c r="I3" s="32" t="s">
        <v>3</v>
      </c>
      <c r="J3" s="33" t="s">
        <v>4</v>
      </c>
      <c r="K3" s="30" t="s">
        <v>18</v>
      </c>
      <c r="L3" s="30" t="s">
        <v>19</v>
      </c>
      <c r="M3" s="31" t="s">
        <v>18</v>
      </c>
      <c r="N3" s="31" t="s">
        <v>19</v>
      </c>
      <c r="O3" s="34" t="s">
        <v>16</v>
      </c>
      <c r="P3" s="35" t="s">
        <v>11</v>
      </c>
      <c r="Q3" s="2" t="s">
        <v>29</v>
      </c>
      <c r="R3" s="3" t="s">
        <v>30</v>
      </c>
      <c r="S3" s="3" t="s">
        <v>31</v>
      </c>
      <c r="T3" s="3" t="s">
        <v>32</v>
      </c>
      <c r="U3" s="3" t="s">
        <v>33</v>
      </c>
      <c r="V3" s="3" t="s">
        <v>34</v>
      </c>
      <c r="W3" s="3" t="s">
        <v>35</v>
      </c>
      <c r="X3" s="3" t="s">
        <v>36</v>
      </c>
      <c r="Y3" s="3" t="s">
        <v>37</v>
      </c>
      <c r="Z3" s="3" t="s">
        <v>38</v>
      </c>
      <c r="AA3" s="3" t="s">
        <v>39</v>
      </c>
      <c r="AB3" s="4" t="s">
        <v>40</v>
      </c>
      <c r="AC3" s="7" t="s">
        <v>29</v>
      </c>
      <c r="AD3" s="8" t="s">
        <v>30</v>
      </c>
      <c r="AE3" s="8" t="s">
        <v>31</v>
      </c>
      <c r="AF3" s="8" t="s">
        <v>32</v>
      </c>
      <c r="AG3" s="8" t="s">
        <v>33</v>
      </c>
      <c r="AH3" s="8" t="s">
        <v>34</v>
      </c>
      <c r="AI3" s="8" t="s">
        <v>35</v>
      </c>
      <c r="AJ3" s="8" t="s">
        <v>36</v>
      </c>
      <c r="AK3" s="8" t="s">
        <v>37</v>
      </c>
      <c r="AL3" s="8" t="s">
        <v>38</v>
      </c>
      <c r="AM3" s="8" t="s">
        <v>39</v>
      </c>
      <c r="AN3" s="9" t="s">
        <v>40</v>
      </c>
      <c r="AO3" s="10" t="s">
        <v>29</v>
      </c>
      <c r="AP3" s="11" t="s">
        <v>30</v>
      </c>
      <c r="AQ3" s="11" t="s">
        <v>31</v>
      </c>
      <c r="AR3" s="11" t="s">
        <v>32</v>
      </c>
      <c r="AS3" s="11" t="s">
        <v>33</v>
      </c>
      <c r="AT3" s="11" t="s">
        <v>34</v>
      </c>
      <c r="AU3" s="11" t="s">
        <v>35</v>
      </c>
      <c r="AV3" s="11" t="s">
        <v>36</v>
      </c>
      <c r="AW3" s="11" t="s">
        <v>37</v>
      </c>
      <c r="AX3" s="11" t="s">
        <v>38</v>
      </c>
      <c r="AY3" s="11" t="s">
        <v>39</v>
      </c>
      <c r="AZ3" s="12" t="s">
        <v>40</v>
      </c>
      <c r="BA3" s="13" t="s">
        <v>47</v>
      </c>
      <c r="BB3" s="13" t="s">
        <v>46</v>
      </c>
      <c r="BC3" s="14" t="s">
        <v>48</v>
      </c>
      <c r="BD3" s="15" t="s">
        <v>51</v>
      </c>
      <c r="BE3" s="15" t="s">
        <v>52</v>
      </c>
      <c r="BF3" s="15" t="s">
        <v>53</v>
      </c>
      <c r="BG3" s="15" t="s">
        <v>54</v>
      </c>
      <c r="BH3" s="15" t="s">
        <v>55</v>
      </c>
      <c r="BI3" s="15" t="s">
        <v>56</v>
      </c>
      <c r="BJ3" s="15" t="s">
        <v>63</v>
      </c>
      <c r="BK3" s="15" t="s">
        <v>57</v>
      </c>
      <c r="BL3" s="15" t="s">
        <v>58</v>
      </c>
      <c r="BM3" s="15" t="s">
        <v>59</v>
      </c>
      <c r="BN3" s="15" t="s">
        <v>60</v>
      </c>
      <c r="BO3" s="15" t="s">
        <v>61</v>
      </c>
      <c r="BP3" s="15" t="s">
        <v>62</v>
      </c>
      <c r="BQ3" s="15"/>
    </row>
    <row r="4" spans="1:70" s="42" customFormat="1" ht="99.75" thickBot="1" x14ac:dyDescent="0.35">
      <c r="A4" s="229" t="s">
        <v>185</v>
      </c>
      <c r="B4" s="227" t="s">
        <v>74</v>
      </c>
      <c r="C4" s="210" t="s">
        <v>9</v>
      </c>
      <c r="D4" s="220" t="s">
        <v>261</v>
      </c>
      <c r="E4" s="211">
        <v>59000000</v>
      </c>
      <c r="F4" s="212"/>
      <c r="G4" s="212"/>
      <c r="H4" s="213">
        <f>E4/12</f>
        <v>4916666.666666667</v>
      </c>
      <c r="I4" s="214">
        <v>45296</v>
      </c>
      <c r="J4" s="214">
        <v>45657</v>
      </c>
      <c r="K4" s="215" t="s">
        <v>274</v>
      </c>
      <c r="L4" s="214">
        <v>45293</v>
      </c>
      <c r="M4" s="215" t="s">
        <v>269</v>
      </c>
      <c r="N4" s="214">
        <v>45296</v>
      </c>
      <c r="O4" s="216">
        <f>J4-I4</f>
        <v>361</v>
      </c>
      <c r="P4" s="217"/>
      <c r="Q4" s="56"/>
      <c r="R4" s="57"/>
      <c r="S4" s="57"/>
      <c r="T4" s="57"/>
      <c r="U4" s="57"/>
      <c r="V4" s="57"/>
      <c r="W4" s="57"/>
      <c r="X4" s="57"/>
      <c r="Y4" s="57"/>
      <c r="Z4" s="57"/>
      <c r="AA4" s="57"/>
      <c r="AB4" s="58"/>
      <c r="AC4" s="56"/>
      <c r="AD4" s="57"/>
      <c r="AE4" s="57"/>
      <c r="AF4" s="57"/>
      <c r="AG4" s="57"/>
      <c r="AH4" s="57"/>
      <c r="AI4" s="57"/>
      <c r="AJ4" s="57"/>
      <c r="AK4" s="57"/>
      <c r="AL4" s="57"/>
      <c r="AM4" s="57"/>
      <c r="AN4" s="58"/>
      <c r="AO4" s="59"/>
      <c r="AP4" s="60"/>
      <c r="AQ4" s="60"/>
      <c r="AR4" s="60"/>
      <c r="AS4" s="60"/>
      <c r="AT4" s="60"/>
      <c r="AU4" s="60"/>
      <c r="AV4" s="60"/>
      <c r="AW4" s="60"/>
      <c r="AX4" s="60"/>
      <c r="AY4" s="60"/>
      <c r="AZ4" s="61"/>
      <c r="BA4" s="60"/>
      <c r="BB4" s="60"/>
      <c r="BC4" s="60"/>
      <c r="BD4" s="66" t="s">
        <v>42</v>
      </c>
      <c r="BE4" s="66" t="s">
        <v>42</v>
      </c>
      <c r="BF4" s="66" t="s">
        <v>42</v>
      </c>
      <c r="BG4" s="66" t="s">
        <v>42</v>
      </c>
      <c r="BH4" s="66" t="s">
        <v>42</v>
      </c>
      <c r="BI4" s="66" t="s">
        <v>42</v>
      </c>
      <c r="BJ4" s="66" t="s">
        <v>42</v>
      </c>
      <c r="BK4" s="66" t="s">
        <v>42</v>
      </c>
      <c r="BL4" s="66" t="s">
        <v>42</v>
      </c>
      <c r="BM4" s="66" t="s">
        <v>42</v>
      </c>
      <c r="BN4" s="66" t="s">
        <v>42</v>
      </c>
      <c r="BO4" s="66" t="s">
        <v>42</v>
      </c>
      <c r="BP4" s="144" t="s">
        <v>148</v>
      </c>
      <c r="BQ4" s="66" t="s">
        <v>42</v>
      </c>
    </row>
    <row r="5" spans="1:70" s="42" customFormat="1" ht="99.75" thickBot="1" x14ac:dyDescent="0.35">
      <c r="A5" s="229" t="s">
        <v>184</v>
      </c>
      <c r="B5" s="227" t="s">
        <v>5</v>
      </c>
      <c r="C5" s="210" t="s">
        <v>69</v>
      </c>
      <c r="D5" s="220" t="s">
        <v>262</v>
      </c>
      <c r="E5" s="211">
        <v>13000000</v>
      </c>
      <c r="F5" s="212"/>
      <c r="G5" s="212"/>
      <c r="H5" s="218">
        <f>E5/12</f>
        <v>1083333.3333333333</v>
      </c>
      <c r="I5" s="214" t="s">
        <v>263</v>
      </c>
      <c r="J5" s="214">
        <v>45657</v>
      </c>
      <c r="K5" s="215" t="s">
        <v>275</v>
      </c>
      <c r="L5" s="214">
        <v>45293</v>
      </c>
      <c r="M5" s="215" t="s">
        <v>271</v>
      </c>
      <c r="N5" s="214">
        <v>45296</v>
      </c>
      <c r="O5" s="216" t="e">
        <f>J5-I5</f>
        <v>#VALUE!</v>
      </c>
      <c r="P5" s="217"/>
      <c r="Q5" s="56"/>
      <c r="R5" s="57"/>
      <c r="S5" s="57"/>
      <c r="T5" s="57"/>
      <c r="U5" s="57"/>
      <c r="V5" s="57"/>
      <c r="W5" s="57"/>
      <c r="X5" s="57"/>
      <c r="Y5" s="57"/>
      <c r="Z5" s="57"/>
      <c r="AA5" s="57"/>
      <c r="AB5" s="58"/>
      <c r="AC5" s="56"/>
      <c r="AD5" s="57"/>
      <c r="AE5" s="57"/>
      <c r="AF5" s="57"/>
      <c r="AG5" s="57"/>
      <c r="AH5" s="57"/>
      <c r="AI5" s="57"/>
      <c r="AJ5" s="57"/>
      <c r="AK5" s="57"/>
      <c r="AL5" s="57"/>
      <c r="AM5" s="57"/>
      <c r="AN5" s="58"/>
      <c r="AO5" s="59"/>
      <c r="AP5" s="60"/>
      <c r="AQ5" s="60"/>
      <c r="AR5" s="60"/>
      <c r="AS5" s="60"/>
      <c r="AT5" s="60"/>
      <c r="AU5" s="60"/>
      <c r="AV5" s="60"/>
      <c r="AW5" s="60"/>
      <c r="AX5" s="60"/>
      <c r="AY5" s="60"/>
      <c r="AZ5" s="61"/>
      <c r="BA5" s="60"/>
      <c r="BB5" s="60"/>
      <c r="BC5" s="60"/>
      <c r="BD5" s="60" t="s">
        <v>42</v>
      </c>
      <c r="BE5" s="60" t="s">
        <v>42</v>
      </c>
      <c r="BF5" s="60" t="s">
        <v>42</v>
      </c>
      <c r="BG5" s="60" t="s">
        <v>42</v>
      </c>
      <c r="BH5" s="60" t="s">
        <v>42</v>
      </c>
      <c r="BI5" s="60" t="s">
        <v>42</v>
      </c>
      <c r="BJ5" s="60" t="s">
        <v>42</v>
      </c>
      <c r="BK5" s="60" t="s">
        <v>42</v>
      </c>
      <c r="BL5" s="60" t="s">
        <v>42</v>
      </c>
      <c r="BM5" s="60" t="s">
        <v>42</v>
      </c>
      <c r="BN5" s="60" t="s">
        <v>42</v>
      </c>
      <c r="BO5" s="60" t="s">
        <v>42</v>
      </c>
      <c r="BP5" s="145" t="s">
        <v>148</v>
      </c>
      <c r="BQ5" s="60" t="s">
        <v>42</v>
      </c>
    </row>
    <row r="6" spans="1:70" s="42" customFormat="1" ht="99.75" thickBot="1" x14ac:dyDescent="0.35">
      <c r="A6" s="229" t="s">
        <v>183</v>
      </c>
      <c r="B6" s="227" t="s">
        <v>5</v>
      </c>
      <c r="C6" s="210" t="s">
        <v>9</v>
      </c>
      <c r="D6" s="220" t="s">
        <v>77</v>
      </c>
      <c r="E6" s="211">
        <v>5000000</v>
      </c>
      <c r="F6" s="212"/>
      <c r="G6" s="212"/>
      <c r="H6" s="218">
        <f>E6/12</f>
        <v>416666.66666666669</v>
      </c>
      <c r="I6" s="214">
        <v>45296</v>
      </c>
      <c r="J6" s="214">
        <v>45657</v>
      </c>
      <c r="K6" s="215" t="s">
        <v>276</v>
      </c>
      <c r="L6" s="214">
        <v>45293</v>
      </c>
      <c r="M6" s="215" t="s">
        <v>232</v>
      </c>
      <c r="N6" s="214">
        <v>45296</v>
      </c>
      <c r="O6" s="216">
        <f t="shared" ref="O6:O27" si="0">J6-I6</f>
        <v>361</v>
      </c>
      <c r="P6" s="217"/>
      <c r="Q6" s="56"/>
      <c r="R6" s="57"/>
      <c r="S6" s="57"/>
      <c r="T6" s="57"/>
      <c r="U6" s="57"/>
      <c r="V6" s="57"/>
      <c r="W6" s="57"/>
      <c r="X6" s="57"/>
      <c r="Y6" s="57"/>
      <c r="Z6" s="57"/>
      <c r="AA6" s="57"/>
      <c r="AB6" s="58"/>
      <c r="AC6" s="56"/>
      <c r="AD6" s="57"/>
      <c r="AE6" s="57"/>
      <c r="AF6" s="57"/>
      <c r="AG6" s="57"/>
      <c r="AH6" s="57"/>
      <c r="AI6" s="57"/>
      <c r="AJ6" s="57"/>
      <c r="AK6" s="57"/>
      <c r="AL6" s="57"/>
      <c r="AM6" s="57"/>
      <c r="AN6" s="58"/>
      <c r="AO6" s="59"/>
      <c r="AP6" s="60"/>
      <c r="AQ6" s="60"/>
      <c r="AR6" s="60"/>
      <c r="AS6" s="60"/>
      <c r="AT6" s="60"/>
      <c r="AU6" s="60"/>
      <c r="AV6" s="60"/>
      <c r="AW6" s="60"/>
      <c r="AX6" s="60"/>
      <c r="AY6" s="60"/>
      <c r="AZ6" s="61"/>
      <c r="BA6" s="60"/>
      <c r="BB6" s="60"/>
      <c r="BC6" s="60"/>
      <c r="BD6" s="60" t="s">
        <v>42</v>
      </c>
      <c r="BE6" s="60" t="s">
        <v>42</v>
      </c>
      <c r="BF6" s="60" t="s">
        <v>42</v>
      </c>
      <c r="BG6" s="60" t="s">
        <v>42</v>
      </c>
      <c r="BH6" s="60" t="s">
        <v>42</v>
      </c>
      <c r="BI6" s="60" t="s">
        <v>42</v>
      </c>
      <c r="BJ6" s="60" t="s">
        <v>42</v>
      </c>
      <c r="BK6" s="60" t="s">
        <v>42</v>
      </c>
      <c r="BL6" s="60" t="s">
        <v>42</v>
      </c>
      <c r="BM6" s="60" t="s">
        <v>42</v>
      </c>
      <c r="BN6" s="60" t="s">
        <v>42</v>
      </c>
      <c r="BO6" s="60" t="s">
        <v>42</v>
      </c>
      <c r="BP6" s="145" t="s">
        <v>148</v>
      </c>
      <c r="BQ6" s="60" t="s">
        <v>42</v>
      </c>
    </row>
    <row r="7" spans="1:70" s="42" customFormat="1" ht="99.75" thickBot="1" x14ac:dyDescent="0.35">
      <c r="A7" s="229" t="s">
        <v>182</v>
      </c>
      <c r="B7" s="227" t="s">
        <v>5</v>
      </c>
      <c r="C7" s="210" t="s">
        <v>9</v>
      </c>
      <c r="D7" s="220" t="s">
        <v>79</v>
      </c>
      <c r="E7" s="211">
        <v>15100000</v>
      </c>
      <c r="F7" s="219"/>
      <c r="G7" s="219"/>
      <c r="H7" s="218">
        <f>E7/12</f>
        <v>1258333.3333333333</v>
      </c>
      <c r="I7" s="214">
        <v>45296</v>
      </c>
      <c r="J7" s="214">
        <v>45657</v>
      </c>
      <c r="K7" s="215" t="s">
        <v>277</v>
      </c>
      <c r="L7" s="214">
        <v>45293</v>
      </c>
      <c r="M7" s="215" t="s">
        <v>235</v>
      </c>
      <c r="N7" s="214">
        <v>45296</v>
      </c>
      <c r="O7" s="216">
        <f t="shared" si="0"/>
        <v>361</v>
      </c>
      <c r="P7" s="217"/>
      <c r="Q7" s="56"/>
      <c r="R7" s="57"/>
      <c r="S7" s="57"/>
      <c r="T7" s="57"/>
      <c r="U7" s="57"/>
      <c r="V7" s="57"/>
      <c r="W7" s="57"/>
      <c r="X7" s="57"/>
      <c r="Y7" s="57"/>
      <c r="Z7" s="57"/>
      <c r="AA7" s="57"/>
      <c r="AB7" s="58"/>
      <c r="AC7" s="56"/>
      <c r="AD7" s="57"/>
      <c r="AE7" s="57"/>
      <c r="AF7" s="57"/>
      <c r="AG7" s="57"/>
      <c r="AH7" s="57"/>
      <c r="AI7" s="57"/>
      <c r="AJ7" s="57"/>
      <c r="AK7" s="57"/>
      <c r="AL7" s="57"/>
      <c r="AM7" s="57"/>
      <c r="AN7" s="58"/>
      <c r="AO7" s="59"/>
      <c r="AP7" s="60"/>
      <c r="AQ7" s="60"/>
      <c r="AR7" s="60"/>
      <c r="AS7" s="60"/>
      <c r="AT7" s="60"/>
      <c r="AU7" s="60"/>
      <c r="AV7" s="60"/>
      <c r="AW7" s="60"/>
      <c r="AX7" s="60"/>
      <c r="AY7" s="60"/>
      <c r="AZ7" s="61"/>
      <c r="BA7" s="60"/>
      <c r="BB7" s="60"/>
      <c r="BC7" s="60"/>
      <c r="BD7" s="60" t="s">
        <v>42</v>
      </c>
      <c r="BE7" s="60" t="s">
        <v>42</v>
      </c>
      <c r="BF7" s="60" t="s">
        <v>42</v>
      </c>
      <c r="BG7" s="60" t="s">
        <v>42</v>
      </c>
      <c r="BH7" s="60" t="s">
        <v>42</v>
      </c>
      <c r="BI7" s="60" t="s">
        <v>42</v>
      </c>
      <c r="BJ7" s="60" t="s">
        <v>42</v>
      </c>
      <c r="BK7" s="60" t="s">
        <v>42</v>
      </c>
      <c r="BL7" s="60" t="s">
        <v>42</v>
      </c>
      <c r="BM7" s="60" t="s">
        <v>42</v>
      </c>
      <c r="BN7" s="60" t="s">
        <v>42</v>
      </c>
      <c r="BO7" s="60" t="s">
        <v>42</v>
      </c>
      <c r="BP7" s="145" t="s">
        <v>148</v>
      </c>
      <c r="BQ7" s="60" t="s">
        <v>42</v>
      </c>
    </row>
    <row r="8" spans="1:70" s="42" customFormat="1" ht="66.75" thickBot="1" x14ac:dyDescent="0.35">
      <c r="A8" s="229" t="s">
        <v>181</v>
      </c>
      <c r="B8" s="227" t="s">
        <v>26</v>
      </c>
      <c r="C8" s="210">
        <v>1010192436</v>
      </c>
      <c r="D8" s="220" t="s">
        <v>64</v>
      </c>
      <c r="E8" s="211">
        <v>29400000</v>
      </c>
      <c r="F8" s="219"/>
      <c r="G8" s="219"/>
      <c r="H8" s="218">
        <f t="shared" ref="H8:H17" si="1">E8/12</f>
        <v>2450000</v>
      </c>
      <c r="I8" s="214">
        <v>45296</v>
      </c>
      <c r="J8" s="214">
        <v>45657</v>
      </c>
      <c r="K8" s="215" t="s">
        <v>264</v>
      </c>
      <c r="L8" s="214">
        <v>45293</v>
      </c>
      <c r="M8" s="215" t="s">
        <v>238</v>
      </c>
      <c r="N8" s="214">
        <v>45296</v>
      </c>
      <c r="O8" s="216">
        <f>J8-I8</f>
        <v>361</v>
      </c>
      <c r="P8" s="217"/>
      <c r="Q8" s="56" t="s">
        <v>42</v>
      </c>
      <c r="R8" s="57" t="s">
        <v>42</v>
      </c>
      <c r="S8" s="57"/>
      <c r="T8" s="57"/>
      <c r="U8" s="57"/>
      <c r="V8" s="57"/>
      <c r="W8" s="57"/>
      <c r="X8" s="57"/>
      <c r="Y8" s="57"/>
      <c r="Z8" s="57"/>
      <c r="AA8" s="57"/>
      <c r="AB8" s="58"/>
      <c r="AC8" s="56" t="s">
        <v>42</v>
      </c>
      <c r="AD8" s="57" t="s">
        <v>42</v>
      </c>
      <c r="AE8" s="57"/>
      <c r="AF8" s="57"/>
      <c r="AG8" s="57"/>
      <c r="AH8" s="57"/>
      <c r="AI8" s="57"/>
      <c r="AJ8" s="57"/>
      <c r="AK8" s="57"/>
      <c r="AL8" s="57"/>
      <c r="AM8" s="57"/>
      <c r="AN8" s="58"/>
      <c r="AO8" s="59" t="s">
        <v>42</v>
      </c>
      <c r="AP8" s="60" t="s">
        <v>42</v>
      </c>
      <c r="AQ8" s="60"/>
      <c r="AR8" s="60"/>
      <c r="AS8" s="60"/>
      <c r="AT8" s="60"/>
      <c r="AU8" s="60"/>
      <c r="AV8" s="60"/>
      <c r="AW8" s="60"/>
      <c r="AX8" s="60"/>
      <c r="AY8" s="60"/>
      <c r="AZ8" s="61"/>
      <c r="BA8" s="60"/>
      <c r="BB8" s="60"/>
      <c r="BC8" s="60"/>
      <c r="BD8" s="60" t="s">
        <v>42</v>
      </c>
      <c r="BE8" s="60" t="s">
        <v>42</v>
      </c>
      <c r="BF8" s="60" t="s">
        <v>42</v>
      </c>
      <c r="BG8" s="60" t="s">
        <v>42</v>
      </c>
      <c r="BH8" s="60" t="s">
        <v>42</v>
      </c>
      <c r="BI8" s="60" t="s">
        <v>42</v>
      </c>
      <c r="BJ8" s="60" t="s">
        <v>42</v>
      </c>
      <c r="BK8" s="60" t="s">
        <v>42</v>
      </c>
      <c r="BL8" s="60" t="s">
        <v>42</v>
      </c>
      <c r="BM8" s="127" t="s">
        <v>148</v>
      </c>
      <c r="BN8" s="60" t="s">
        <v>42</v>
      </c>
      <c r="BO8" s="60" t="s">
        <v>42</v>
      </c>
      <c r="BP8" s="60" t="s">
        <v>42</v>
      </c>
      <c r="BQ8" s="60" t="s">
        <v>42</v>
      </c>
    </row>
    <row r="9" spans="1:70" s="42" customFormat="1" ht="50.25" thickBot="1" x14ac:dyDescent="0.35">
      <c r="A9" s="229" t="s">
        <v>186</v>
      </c>
      <c r="B9" s="227" t="s">
        <v>160</v>
      </c>
      <c r="C9" s="210">
        <v>1099874455</v>
      </c>
      <c r="D9" s="220" t="s">
        <v>187</v>
      </c>
      <c r="E9" s="221">
        <v>18801120</v>
      </c>
      <c r="F9" s="219"/>
      <c r="G9" s="219"/>
      <c r="H9" s="218">
        <f t="shared" si="1"/>
        <v>1566760</v>
      </c>
      <c r="I9" s="214">
        <v>45296</v>
      </c>
      <c r="J9" s="214">
        <v>45657</v>
      </c>
      <c r="K9" s="215" t="s">
        <v>188</v>
      </c>
      <c r="L9" s="214">
        <v>45293</v>
      </c>
      <c r="M9" s="215" t="s">
        <v>189</v>
      </c>
      <c r="N9" s="214">
        <v>45296</v>
      </c>
      <c r="O9" s="216">
        <f>J9-I9</f>
        <v>361</v>
      </c>
      <c r="P9" s="217"/>
      <c r="Q9" s="56" t="s">
        <v>42</v>
      </c>
      <c r="R9" s="57" t="s">
        <v>42</v>
      </c>
      <c r="S9" s="57"/>
      <c r="T9" s="57"/>
      <c r="U9" s="57"/>
      <c r="V9" s="57"/>
      <c r="W9" s="57"/>
      <c r="X9" s="57"/>
      <c r="Y9" s="57"/>
      <c r="Z9" s="57"/>
      <c r="AA9" s="57"/>
      <c r="AB9" s="58"/>
      <c r="AC9" s="56" t="s">
        <v>42</v>
      </c>
      <c r="AD9" s="57" t="s">
        <v>42</v>
      </c>
      <c r="AE9" s="57"/>
      <c r="AF9" s="57"/>
      <c r="AG9" s="57"/>
      <c r="AH9" s="57"/>
      <c r="AI9" s="57"/>
      <c r="AJ9" s="57"/>
      <c r="AK9" s="57"/>
      <c r="AL9" s="57"/>
      <c r="AM9" s="57"/>
      <c r="AN9" s="58"/>
      <c r="AO9" s="59" t="s">
        <v>42</v>
      </c>
      <c r="AP9" s="60" t="s">
        <v>42</v>
      </c>
      <c r="AQ9" s="60"/>
      <c r="AR9" s="60"/>
      <c r="AS9" s="60"/>
      <c r="AT9" s="60"/>
      <c r="AU9" s="60"/>
      <c r="AV9" s="60"/>
      <c r="AW9" s="60"/>
      <c r="AX9" s="60"/>
      <c r="AY9" s="60"/>
      <c r="AZ9" s="61"/>
      <c r="BA9" s="60"/>
      <c r="BB9" s="60"/>
      <c r="BC9" s="60"/>
      <c r="BD9" s="60" t="s">
        <v>42</v>
      </c>
      <c r="BE9" s="60" t="s">
        <v>42</v>
      </c>
      <c r="BF9" s="60" t="s">
        <v>42</v>
      </c>
      <c r="BG9" s="60" t="s">
        <v>42</v>
      </c>
      <c r="BH9" s="60" t="s">
        <v>42</v>
      </c>
      <c r="BI9" s="60" t="s">
        <v>42</v>
      </c>
      <c r="BJ9" s="60" t="s">
        <v>42</v>
      </c>
      <c r="BK9" s="60" t="s">
        <v>42</v>
      </c>
      <c r="BL9" s="60" t="s">
        <v>42</v>
      </c>
      <c r="BM9" s="127" t="s">
        <v>148</v>
      </c>
      <c r="BN9" s="60" t="s">
        <v>42</v>
      </c>
      <c r="BO9" s="60" t="s">
        <v>42</v>
      </c>
      <c r="BP9" s="282" t="s">
        <v>148</v>
      </c>
      <c r="BQ9" s="60" t="s">
        <v>42</v>
      </c>
    </row>
    <row r="10" spans="1:70" s="42" customFormat="1" ht="132.75" thickBot="1" x14ac:dyDescent="0.35">
      <c r="A10" s="229" t="s">
        <v>190</v>
      </c>
      <c r="B10" s="227" t="s">
        <v>191</v>
      </c>
      <c r="C10" s="210">
        <v>1099874770</v>
      </c>
      <c r="D10" s="220" t="s">
        <v>192</v>
      </c>
      <c r="E10" s="221">
        <v>18801120</v>
      </c>
      <c r="F10" s="219"/>
      <c r="G10" s="219"/>
      <c r="H10" s="218">
        <f t="shared" si="1"/>
        <v>1566760</v>
      </c>
      <c r="I10" s="214">
        <v>45296</v>
      </c>
      <c r="J10" s="214">
        <v>45657</v>
      </c>
      <c r="K10" s="215" t="s">
        <v>193</v>
      </c>
      <c r="L10" s="214">
        <v>45293</v>
      </c>
      <c r="M10" s="215" t="s">
        <v>194</v>
      </c>
      <c r="N10" s="214">
        <v>45296</v>
      </c>
      <c r="O10" s="216">
        <f t="shared" si="0"/>
        <v>361</v>
      </c>
      <c r="P10" s="217"/>
      <c r="Q10" s="56" t="s">
        <v>42</v>
      </c>
      <c r="R10" s="57" t="s">
        <v>42</v>
      </c>
      <c r="S10" s="57"/>
      <c r="T10" s="57"/>
      <c r="U10" s="57"/>
      <c r="V10" s="57"/>
      <c r="W10" s="57"/>
      <c r="X10" s="57"/>
      <c r="Y10" s="57"/>
      <c r="Z10" s="57"/>
      <c r="AA10" s="57"/>
      <c r="AB10" s="58"/>
      <c r="AC10" s="56" t="s">
        <v>42</v>
      </c>
      <c r="AD10" s="57" t="s">
        <v>42</v>
      </c>
      <c r="AE10" s="57"/>
      <c r="AF10" s="57"/>
      <c r="AG10" s="57"/>
      <c r="AH10" s="57"/>
      <c r="AI10" s="57"/>
      <c r="AJ10" s="57"/>
      <c r="AK10" s="57"/>
      <c r="AL10" s="57"/>
      <c r="AM10" s="57"/>
      <c r="AN10" s="58"/>
      <c r="AO10" s="59" t="s">
        <v>42</v>
      </c>
      <c r="AP10" s="60" t="s">
        <v>42</v>
      </c>
      <c r="AQ10" s="60"/>
      <c r="AR10" s="60"/>
      <c r="AS10" s="60"/>
      <c r="AT10" s="60"/>
      <c r="AU10" s="60"/>
      <c r="AV10" s="60"/>
      <c r="AW10" s="60"/>
      <c r="AX10" s="60"/>
      <c r="AY10" s="60"/>
      <c r="AZ10" s="61"/>
      <c r="BA10" s="60"/>
      <c r="BB10" s="60"/>
      <c r="BC10" s="60"/>
      <c r="BD10" s="60" t="s">
        <v>42</v>
      </c>
      <c r="BE10" s="60" t="s">
        <v>42</v>
      </c>
      <c r="BF10" s="60" t="s">
        <v>42</v>
      </c>
      <c r="BG10" s="60" t="s">
        <v>42</v>
      </c>
      <c r="BH10" s="60" t="s">
        <v>42</v>
      </c>
      <c r="BI10" s="60" t="s">
        <v>42</v>
      </c>
      <c r="BJ10" s="60" t="s">
        <v>42</v>
      </c>
      <c r="BK10" s="60" t="s">
        <v>42</v>
      </c>
      <c r="BL10" s="60" t="s">
        <v>42</v>
      </c>
      <c r="BM10" s="127" t="s">
        <v>148</v>
      </c>
      <c r="BN10" s="60" t="s">
        <v>42</v>
      </c>
      <c r="BO10" s="60" t="s">
        <v>42</v>
      </c>
      <c r="BP10" s="282" t="s">
        <v>148</v>
      </c>
      <c r="BQ10" s="60" t="s">
        <v>42</v>
      </c>
    </row>
    <row r="11" spans="1:70" s="42" customFormat="1" ht="83.25" thickBot="1" x14ac:dyDescent="0.35">
      <c r="A11" s="229" t="s">
        <v>195</v>
      </c>
      <c r="B11" s="227" t="s">
        <v>143</v>
      </c>
      <c r="C11" s="210">
        <v>28024123</v>
      </c>
      <c r="D11" s="220" t="s">
        <v>196</v>
      </c>
      <c r="E11" s="221">
        <v>18801120</v>
      </c>
      <c r="F11" s="219"/>
      <c r="G11" s="219"/>
      <c r="H11" s="218">
        <f t="shared" si="1"/>
        <v>1566760</v>
      </c>
      <c r="I11" s="214">
        <v>45296</v>
      </c>
      <c r="J11" s="214">
        <v>45657</v>
      </c>
      <c r="K11" s="215" t="s">
        <v>197</v>
      </c>
      <c r="L11" s="214">
        <v>45293</v>
      </c>
      <c r="M11" s="215" t="s">
        <v>198</v>
      </c>
      <c r="N11" s="214">
        <v>45296</v>
      </c>
      <c r="O11" s="216">
        <f t="shared" si="0"/>
        <v>361</v>
      </c>
      <c r="P11" s="217"/>
      <c r="Q11" s="56" t="s">
        <v>42</v>
      </c>
      <c r="R11" s="57" t="s">
        <v>42</v>
      </c>
      <c r="S11" s="57"/>
      <c r="T11" s="57"/>
      <c r="U11" s="57"/>
      <c r="V11" s="57"/>
      <c r="W11" s="57"/>
      <c r="X11" s="57"/>
      <c r="Y11" s="57"/>
      <c r="Z11" s="57"/>
      <c r="AA11" s="57"/>
      <c r="AB11" s="58"/>
      <c r="AC11" s="56" t="s">
        <v>42</v>
      </c>
      <c r="AD11" s="57" t="s">
        <v>42</v>
      </c>
      <c r="AE11" s="57"/>
      <c r="AF11" s="57"/>
      <c r="AG11" s="57"/>
      <c r="AH11" s="57"/>
      <c r="AI11" s="57"/>
      <c r="AJ11" s="57"/>
      <c r="AK11" s="57"/>
      <c r="AL11" s="57"/>
      <c r="AM11" s="57"/>
      <c r="AN11" s="58"/>
      <c r="AO11" s="59" t="s">
        <v>42</v>
      </c>
      <c r="AP11" s="60" t="s">
        <v>42</v>
      </c>
      <c r="AQ11" s="60"/>
      <c r="AR11" s="60"/>
      <c r="AS11" s="60"/>
      <c r="AT11" s="60"/>
      <c r="AU11" s="60"/>
      <c r="AV11" s="60"/>
      <c r="AW11" s="60"/>
      <c r="AX11" s="60"/>
      <c r="AY11" s="60"/>
      <c r="AZ11" s="61"/>
      <c r="BA11" s="60"/>
      <c r="BB11" s="60"/>
      <c r="BC11" s="60"/>
      <c r="BD11" s="60" t="s">
        <v>42</v>
      </c>
      <c r="BE11" s="60" t="s">
        <v>42</v>
      </c>
      <c r="BF11" s="60" t="s">
        <v>42</v>
      </c>
      <c r="BG11" s="60" t="s">
        <v>42</v>
      </c>
      <c r="BH11" s="60" t="s">
        <v>42</v>
      </c>
      <c r="BI11" s="60" t="s">
        <v>42</v>
      </c>
      <c r="BJ11" s="60" t="s">
        <v>42</v>
      </c>
      <c r="BK11" s="60" t="s">
        <v>42</v>
      </c>
      <c r="BL11" s="60" t="s">
        <v>42</v>
      </c>
      <c r="BM11" s="127" t="s">
        <v>148</v>
      </c>
      <c r="BN11" s="60" t="s">
        <v>42</v>
      </c>
      <c r="BO11" s="60" t="s">
        <v>42</v>
      </c>
      <c r="BP11" s="282" t="s">
        <v>148</v>
      </c>
      <c r="BQ11" s="60" t="s">
        <v>42</v>
      </c>
    </row>
    <row r="12" spans="1:70" s="42" customFormat="1" ht="116.25" thickBot="1" x14ac:dyDescent="0.3">
      <c r="A12" s="229" t="s">
        <v>199</v>
      </c>
      <c r="B12" s="227" t="s">
        <v>28</v>
      </c>
      <c r="C12" s="210">
        <v>1099874596</v>
      </c>
      <c r="D12" s="223" t="s">
        <v>200</v>
      </c>
      <c r="E12" s="221">
        <v>24000000</v>
      </c>
      <c r="F12" s="219"/>
      <c r="G12" s="219"/>
      <c r="H12" s="218">
        <f t="shared" si="1"/>
        <v>2000000</v>
      </c>
      <c r="I12" s="214">
        <v>45296</v>
      </c>
      <c r="J12" s="214">
        <v>45657</v>
      </c>
      <c r="K12" s="215" t="s">
        <v>201</v>
      </c>
      <c r="L12" s="214">
        <v>45293</v>
      </c>
      <c r="M12" s="215" t="s">
        <v>202</v>
      </c>
      <c r="N12" s="214">
        <v>45296</v>
      </c>
      <c r="O12" s="216">
        <f t="shared" si="0"/>
        <v>361</v>
      </c>
      <c r="P12" s="217"/>
      <c r="Q12" s="56" t="s">
        <v>42</v>
      </c>
      <c r="R12" s="57" t="s">
        <v>42</v>
      </c>
      <c r="S12" s="57"/>
      <c r="T12" s="57"/>
      <c r="U12" s="57"/>
      <c r="V12" s="57"/>
      <c r="W12" s="57"/>
      <c r="X12" s="57"/>
      <c r="Y12" s="57"/>
      <c r="Z12" s="57"/>
      <c r="AA12" s="57"/>
      <c r="AB12" s="58"/>
      <c r="AC12" s="56" t="s">
        <v>42</v>
      </c>
      <c r="AD12" s="57" t="s">
        <v>42</v>
      </c>
      <c r="AE12" s="57"/>
      <c r="AF12" s="57"/>
      <c r="AG12" s="57"/>
      <c r="AH12" s="57"/>
      <c r="AI12" s="57"/>
      <c r="AJ12" s="57"/>
      <c r="AK12" s="57"/>
      <c r="AL12" s="57"/>
      <c r="AM12" s="57"/>
      <c r="AN12" s="58"/>
      <c r="AO12" s="59" t="s">
        <v>42</v>
      </c>
      <c r="AP12" s="60" t="s">
        <v>42</v>
      </c>
      <c r="AQ12" s="60"/>
      <c r="AR12" s="60"/>
      <c r="AS12" s="60"/>
      <c r="AT12" s="60"/>
      <c r="AU12" s="60"/>
      <c r="AV12" s="60"/>
      <c r="AW12" s="60"/>
      <c r="AX12" s="60"/>
      <c r="AY12" s="60"/>
      <c r="AZ12" s="61"/>
      <c r="BA12" s="60"/>
      <c r="BB12" s="60"/>
      <c r="BC12" s="60"/>
      <c r="BD12" s="60" t="s">
        <v>42</v>
      </c>
      <c r="BE12" s="60" t="s">
        <v>42</v>
      </c>
      <c r="BF12" s="60" t="s">
        <v>42</v>
      </c>
      <c r="BG12" s="60" t="s">
        <v>42</v>
      </c>
      <c r="BH12" s="60" t="s">
        <v>42</v>
      </c>
      <c r="BI12" s="60" t="s">
        <v>42</v>
      </c>
      <c r="BJ12" s="60" t="s">
        <v>42</v>
      </c>
      <c r="BK12" s="60" t="s">
        <v>42</v>
      </c>
      <c r="BL12" s="60" t="s">
        <v>42</v>
      </c>
      <c r="BM12" s="127" t="s">
        <v>148</v>
      </c>
      <c r="BN12" s="60" t="s">
        <v>42</v>
      </c>
      <c r="BO12" s="60" t="s">
        <v>42</v>
      </c>
      <c r="BP12" s="282" t="s">
        <v>148</v>
      </c>
      <c r="BQ12" s="60" t="s">
        <v>42</v>
      </c>
    </row>
    <row r="13" spans="1:70" s="42" customFormat="1" ht="44.25" thickBot="1" x14ac:dyDescent="0.3">
      <c r="A13" s="229" t="s">
        <v>203</v>
      </c>
      <c r="B13" s="230" t="s">
        <v>137</v>
      </c>
      <c r="C13" s="210">
        <v>1003250506</v>
      </c>
      <c r="D13" s="224" t="s">
        <v>25</v>
      </c>
      <c r="E13" s="221">
        <v>38400000</v>
      </c>
      <c r="F13" s="219"/>
      <c r="G13" s="219"/>
      <c r="H13" s="218">
        <f t="shared" si="1"/>
        <v>3200000</v>
      </c>
      <c r="I13" s="214">
        <v>45296</v>
      </c>
      <c r="J13" s="214">
        <v>45657</v>
      </c>
      <c r="K13" s="215" t="s">
        <v>204</v>
      </c>
      <c r="L13" s="214">
        <v>45293</v>
      </c>
      <c r="M13" s="215" t="s">
        <v>205</v>
      </c>
      <c r="N13" s="214">
        <v>45296</v>
      </c>
      <c r="O13" s="216">
        <f t="shared" si="0"/>
        <v>361</v>
      </c>
      <c r="P13" s="217"/>
      <c r="Q13" s="56" t="s">
        <v>42</v>
      </c>
      <c r="R13" s="57" t="s">
        <v>42</v>
      </c>
      <c r="S13" s="57"/>
      <c r="T13" s="57"/>
      <c r="U13" s="57"/>
      <c r="V13" s="57"/>
      <c r="W13" s="57"/>
      <c r="X13" s="57"/>
      <c r="Y13" s="57"/>
      <c r="Z13" s="57"/>
      <c r="AA13" s="57"/>
      <c r="AB13" s="58"/>
      <c r="AC13" s="56" t="s">
        <v>42</v>
      </c>
      <c r="AD13" s="57" t="s">
        <v>42</v>
      </c>
      <c r="AE13" s="57"/>
      <c r="AF13" s="57"/>
      <c r="AG13" s="57"/>
      <c r="AH13" s="57"/>
      <c r="AI13" s="57"/>
      <c r="AJ13" s="57"/>
      <c r="AK13" s="57"/>
      <c r="AL13" s="57"/>
      <c r="AM13" s="57"/>
      <c r="AN13" s="58"/>
      <c r="AO13" s="59" t="s">
        <v>42</v>
      </c>
      <c r="AP13" s="60" t="s">
        <v>42</v>
      </c>
      <c r="AQ13" s="60"/>
      <c r="AR13" s="60"/>
      <c r="AS13" s="60"/>
      <c r="AT13" s="60"/>
      <c r="AU13" s="60"/>
      <c r="AV13" s="60"/>
      <c r="AW13" s="60"/>
      <c r="AX13" s="60"/>
      <c r="AY13" s="60"/>
      <c r="AZ13" s="61"/>
      <c r="BA13" s="60"/>
      <c r="BB13" s="60"/>
      <c r="BC13" s="60"/>
      <c r="BD13" s="60" t="s">
        <v>42</v>
      </c>
      <c r="BE13" s="60" t="s">
        <v>42</v>
      </c>
      <c r="BF13" s="60" t="s">
        <v>42</v>
      </c>
      <c r="BG13" s="60" t="s">
        <v>42</v>
      </c>
      <c r="BH13" s="60" t="s">
        <v>42</v>
      </c>
      <c r="BI13" s="60" t="s">
        <v>42</v>
      </c>
      <c r="BJ13" s="60" t="s">
        <v>42</v>
      </c>
      <c r="BK13" s="60" t="s">
        <v>42</v>
      </c>
      <c r="BL13" s="60" t="s">
        <v>42</v>
      </c>
      <c r="BM13" s="127" t="s">
        <v>148</v>
      </c>
      <c r="BN13" s="60" t="s">
        <v>42</v>
      </c>
      <c r="BO13" s="60" t="s">
        <v>42</v>
      </c>
      <c r="BP13" s="127" t="s">
        <v>148</v>
      </c>
      <c r="BQ13" s="60" t="s">
        <v>42</v>
      </c>
      <c r="BR13" s="42" t="s">
        <v>111</v>
      </c>
    </row>
    <row r="14" spans="1:70" s="42" customFormat="1" ht="87" thickBot="1" x14ac:dyDescent="0.3">
      <c r="A14" s="229" t="s">
        <v>206</v>
      </c>
      <c r="B14" s="227" t="s">
        <v>23</v>
      </c>
      <c r="C14" s="210">
        <v>5596015</v>
      </c>
      <c r="D14" s="224" t="s">
        <v>207</v>
      </c>
      <c r="E14" s="221">
        <v>47400000</v>
      </c>
      <c r="F14" s="219"/>
      <c r="G14" s="219"/>
      <c r="H14" s="218">
        <f t="shared" si="1"/>
        <v>3950000</v>
      </c>
      <c r="I14" s="214">
        <v>45296</v>
      </c>
      <c r="J14" s="214">
        <v>45657</v>
      </c>
      <c r="K14" s="215" t="s">
        <v>208</v>
      </c>
      <c r="L14" s="214">
        <v>45293</v>
      </c>
      <c r="M14" s="215" t="s">
        <v>209</v>
      </c>
      <c r="N14" s="214">
        <v>45296</v>
      </c>
      <c r="O14" s="216">
        <f t="shared" si="0"/>
        <v>361</v>
      </c>
      <c r="P14" s="217"/>
      <c r="Q14" s="56" t="s">
        <v>42</v>
      </c>
      <c r="R14" s="57" t="s">
        <v>42</v>
      </c>
      <c r="S14" s="57"/>
      <c r="T14" s="57"/>
      <c r="U14" s="57"/>
      <c r="V14" s="57"/>
      <c r="W14" s="57"/>
      <c r="X14" s="57"/>
      <c r="Y14" s="57"/>
      <c r="Z14" s="57"/>
      <c r="AA14" s="57"/>
      <c r="AB14" s="58"/>
      <c r="AC14" s="56" t="s">
        <v>42</v>
      </c>
      <c r="AD14" s="57" t="s">
        <v>42</v>
      </c>
      <c r="AE14" s="57"/>
      <c r="AF14" s="57"/>
      <c r="AG14" s="57"/>
      <c r="AH14" s="57"/>
      <c r="AI14" s="57"/>
      <c r="AJ14" s="57"/>
      <c r="AK14" s="57"/>
      <c r="AL14" s="57"/>
      <c r="AM14" s="57"/>
      <c r="AN14" s="58"/>
      <c r="AO14" s="59" t="s">
        <v>42</v>
      </c>
      <c r="AP14" s="60" t="s">
        <v>42</v>
      </c>
      <c r="AQ14" s="60"/>
      <c r="AR14" s="60"/>
      <c r="AS14" s="60"/>
      <c r="AT14" s="60"/>
      <c r="AU14" s="60"/>
      <c r="AV14" s="60"/>
      <c r="AW14" s="60"/>
      <c r="AX14" s="60"/>
      <c r="AY14" s="60"/>
      <c r="AZ14" s="61"/>
      <c r="BA14" s="60"/>
      <c r="BB14" s="60"/>
      <c r="BC14" s="60"/>
      <c r="BD14" s="60" t="s">
        <v>42</v>
      </c>
      <c r="BE14" s="60" t="s">
        <v>42</v>
      </c>
      <c r="BF14" s="60" t="s">
        <v>42</v>
      </c>
      <c r="BG14" s="60" t="s">
        <v>42</v>
      </c>
      <c r="BH14" s="60" t="s">
        <v>42</v>
      </c>
      <c r="BI14" s="60" t="s">
        <v>42</v>
      </c>
      <c r="BJ14" s="60" t="s">
        <v>42</v>
      </c>
      <c r="BK14" s="60" t="s">
        <v>42</v>
      </c>
      <c r="BL14" s="60" t="s">
        <v>42</v>
      </c>
      <c r="BM14" s="127" t="s">
        <v>148</v>
      </c>
      <c r="BN14" s="60" t="s">
        <v>42</v>
      </c>
      <c r="BO14" s="60" t="s">
        <v>42</v>
      </c>
      <c r="BP14" s="127" t="s">
        <v>42</v>
      </c>
      <c r="BQ14" s="60" t="s">
        <v>42</v>
      </c>
    </row>
    <row r="15" spans="1:70" s="42" customFormat="1" ht="36" customHeight="1" thickBot="1" x14ac:dyDescent="0.35">
      <c r="A15" s="229" t="s">
        <v>210</v>
      </c>
      <c r="B15" s="227" t="s">
        <v>22</v>
      </c>
      <c r="C15" s="210">
        <v>37726337</v>
      </c>
      <c r="D15" s="220" t="s">
        <v>88</v>
      </c>
      <c r="E15" s="221">
        <v>39000000</v>
      </c>
      <c r="F15" s="219"/>
      <c r="G15" s="219"/>
      <c r="H15" s="218">
        <f t="shared" si="1"/>
        <v>3250000</v>
      </c>
      <c r="I15" s="214">
        <v>45296</v>
      </c>
      <c r="J15" s="214">
        <v>45657</v>
      </c>
      <c r="K15" s="215" t="s">
        <v>211</v>
      </c>
      <c r="L15" s="214">
        <v>45293</v>
      </c>
      <c r="M15" s="215" t="s">
        <v>212</v>
      </c>
      <c r="N15" s="214">
        <v>45296</v>
      </c>
      <c r="O15" s="216">
        <f t="shared" si="0"/>
        <v>361</v>
      </c>
      <c r="P15" s="217"/>
      <c r="Q15" s="56" t="s">
        <v>42</v>
      </c>
      <c r="R15" s="57" t="s">
        <v>42</v>
      </c>
      <c r="S15" s="57"/>
      <c r="T15" s="57"/>
      <c r="U15" s="57"/>
      <c r="V15" s="57"/>
      <c r="W15" s="57"/>
      <c r="X15" s="57"/>
      <c r="Y15" s="57"/>
      <c r="Z15" s="57"/>
      <c r="AA15" s="57"/>
      <c r="AB15" s="58"/>
      <c r="AC15" s="56" t="s">
        <v>42</v>
      </c>
      <c r="AD15" s="57" t="s">
        <v>42</v>
      </c>
      <c r="AE15" s="57"/>
      <c r="AF15" s="57"/>
      <c r="AG15" s="57"/>
      <c r="AH15" s="57"/>
      <c r="AI15" s="57"/>
      <c r="AJ15" s="57"/>
      <c r="AK15" s="57"/>
      <c r="AL15" s="57"/>
      <c r="AM15" s="57"/>
      <c r="AN15" s="58"/>
      <c r="AO15" s="59" t="s">
        <v>42</v>
      </c>
      <c r="AP15" s="60" t="s">
        <v>42</v>
      </c>
      <c r="AQ15" s="60"/>
      <c r="AR15" s="60"/>
      <c r="AS15" s="60"/>
      <c r="AT15" s="60"/>
      <c r="AU15" s="60"/>
      <c r="AV15" s="60"/>
      <c r="AW15" s="60"/>
      <c r="AX15" s="60"/>
      <c r="AY15" s="60"/>
      <c r="AZ15" s="61"/>
      <c r="BA15" s="60"/>
      <c r="BB15" s="60"/>
      <c r="BC15" s="60"/>
      <c r="BD15" s="60" t="s">
        <v>42</v>
      </c>
      <c r="BE15" s="60" t="s">
        <v>42</v>
      </c>
      <c r="BF15" s="60" t="s">
        <v>42</v>
      </c>
      <c r="BG15" s="60" t="s">
        <v>42</v>
      </c>
      <c r="BH15" s="60" t="s">
        <v>42</v>
      </c>
      <c r="BI15" s="60" t="s">
        <v>42</v>
      </c>
      <c r="BJ15" s="60" t="s">
        <v>42</v>
      </c>
      <c r="BK15" s="60" t="s">
        <v>42</v>
      </c>
      <c r="BL15" s="60" t="s">
        <v>42</v>
      </c>
      <c r="BM15" s="127" t="s">
        <v>148</v>
      </c>
      <c r="BN15" s="60" t="s">
        <v>42</v>
      </c>
      <c r="BO15" s="60" t="s">
        <v>42</v>
      </c>
      <c r="BP15" s="127" t="s">
        <v>148</v>
      </c>
      <c r="BQ15" s="60" t="s">
        <v>42</v>
      </c>
    </row>
    <row r="16" spans="1:70" s="42" customFormat="1" ht="41.25" customHeight="1" thickBot="1" x14ac:dyDescent="0.3">
      <c r="A16" s="229" t="s">
        <v>213</v>
      </c>
      <c r="B16" s="227" t="s">
        <v>15</v>
      </c>
      <c r="C16" s="210">
        <v>1099874823</v>
      </c>
      <c r="D16" s="226" t="s">
        <v>68</v>
      </c>
      <c r="E16" s="221">
        <v>24000000</v>
      </c>
      <c r="F16" s="219"/>
      <c r="G16" s="219"/>
      <c r="H16" s="218">
        <f t="shared" si="1"/>
        <v>2000000</v>
      </c>
      <c r="I16" s="214">
        <v>45296</v>
      </c>
      <c r="J16" s="214">
        <v>45657</v>
      </c>
      <c r="K16" s="215" t="s">
        <v>265</v>
      </c>
      <c r="L16" s="214">
        <v>45293</v>
      </c>
      <c r="M16" s="215" t="s">
        <v>266</v>
      </c>
      <c r="N16" s="214">
        <v>45296</v>
      </c>
      <c r="O16" s="216">
        <f>J16-I16</f>
        <v>361</v>
      </c>
      <c r="P16" s="217"/>
      <c r="Q16" s="56" t="s">
        <v>42</v>
      </c>
      <c r="R16" s="57" t="s">
        <v>42</v>
      </c>
      <c r="S16" s="57"/>
      <c r="T16" s="57"/>
      <c r="U16" s="57"/>
      <c r="V16" s="57"/>
      <c r="W16" s="57"/>
      <c r="X16" s="57"/>
      <c r="Y16" s="57"/>
      <c r="Z16" s="57"/>
      <c r="AA16" s="57"/>
      <c r="AB16" s="58"/>
      <c r="AC16" s="56" t="s">
        <v>42</v>
      </c>
      <c r="AD16" s="57" t="s">
        <v>42</v>
      </c>
      <c r="AE16" s="57"/>
      <c r="AF16" s="57"/>
      <c r="AG16" s="57"/>
      <c r="AH16" s="57"/>
      <c r="AI16" s="57"/>
      <c r="AJ16" s="57"/>
      <c r="AK16" s="57"/>
      <c r="AL16" s="57"/>
      <c r="AM16" s="57"/>
      <c r="AN16" s="58"/>
      <c r="AO16" s="59" t="s">
        <v>42</v>
      </c>
      <c r="AP16" s="60" t="s">
        <v>42</v>
      </c>
      <c r="AQ16" s="60"/>
      <c r="AR16" s="60"/>
      <c r="AS16" s="60"/>
      <c r="AT16" s="60"/>
      <c r="AU16" s="60"/>
      <c r="AV16" s="60"/>
      <c r="AW16" s="60"/>
      <c r="AX16" s="60"/>
      <c r="AY16" s="60"/>
      <c r="AZ16" s="61"/>
      <c r="BA16" s="60"/>
      <c r="BB16" s="60"/>
      <c r="BC16" s="60"/>
      <c r="BD16" s="60" t="s">
        <v>42</v>
      </c>
      <c r="BE16" s="60" t="s">
        <v>42</v>
      </c>
      <c r="BF16" s="60" t="s">
        <v>42</v>
      </c>
      <c r="BG16" s="60" t="s">
        <v>42</v>
      </c>
      <c r="BH16" s="60" t="s">
        <v>42</v>
      </c>
      <c r="BI16" s="60" t="s">
        <v>42</v>
      </c>
      <c r="BJ16" s="60" t="s">
        <v>42</v>
      </c>
      <c r="BK16" s="60" t="s">
        <v>42</v>
      </c>
      <c r="BL16" s="60" t="s">
        <v>42</v>
      </c>
      <c r="BM16" s="127" t="s">
        <v>148</v>
      </c>
      <c r="BN16" s="60" t="s">
        <v>42</v>
      </c>
      <c r="BO16" s="60" t="s">
        <v>42</v>
      </c>
      <c r="BP16" s="127" t="s">
        <v>42</v>
      </c>
      <c r="BQ16" s="60" t="s">
        <v>42</v>
      </c>
    </row>
    <row r="17" spans="1:69" s="42" customFormat="1" ht="37.5" customHeight="1" thickBot="1" x14ac:dyDescent="0.35">
      <c r="A17" s="229" t="s">
        <v>216</v>
      </c>
      <c r="B17" s="227" t="s">
        <v>71</v>
      </c>
      <c r="C17" s="210">
        <v>1099874363</v>
      </c>
      <c r="D17" s="220" t="s">
        <v>12</v>
      </c>
      <c r="E17" s="221">
        <v>22800000</v>
      </c>
      <c r="F17" s="219"/>
      <c r="G17" s="219"/>
      <c r="H17" s="218">
        <f t="shared" si="1"/>
        <v>1900000</v>
      </c>
      <c r="I17" s="214">
        <v>45296</v>
      </c>
      <c r="J17" s="214">
        <v>45657</v>
      </c>
      <c r="K17" s="215" t="s">
        <v>217</v>
      </c>
      <c r="L17" s="214">
        <v>45293</v>
      </c>
      <c r="M17" s="215" t="s">
        <v>218</v>
      </c>
      <c r="N17" s="214">
        <v>45296</v>
      </c>
      <c r="O17" s="216">
        <f>J17-I17</f>
        <v>361</v>
      </c>
      <c r="P17" s="217"/>
      <c r="Q17" s="56" t="s">
        <v>42</v>
      </c>
      <c r="R17" s="57" t="s">
        <v>42</v>
      </c>
      <c r="S17" s="57"/>
      <c r="T17" s="57"/>
      <c r="U17" s="57"/>
      <c r="V17" s="57"/>
      <c r="W17" s="57"/>
      <c r="X17" s="57"/>
      <c r="Y17" s="57"/>
      <c r="Z17" s="57"/>
      <c r="AA17" s="57"/>
      <c r="AB17" s="58"/>
      <c r="AC17" s="56" t="s">
        <v>42</v>
      </c>
      <c r="AD17" s="57" t="s">
        <v>42</v>
      </c>
      <c r="AE17" s="57"/>
      <c r="AF17" s="57"/>
      <c r="AG17" s="57"/>
      <c r="AH17" s="57"/>
      <c r="AI17" s="57"/>
      <c r="AJ17" s="57"/>
      <c r="AK17" s="57"/>
      <c r="AL17" s="57"/>
      <c r="AM17" s="57"/>
      <c r="AN17" s="58"/>
      <c r="AO17" s="59" t="s">
        <v>42</v>
      </c>
      <c r="AP17" s="60" t="s">
        <v>42</v>
      </c>
      <c r="AQ17" s="60"/>
      <c r="AR17" s="60"/>
      <c r="AS17" s="60"/>
      <c r="AT17" s="60"/>
      <c r="AU17" s="60"/>
      <c r="AV17" s="60"/>
      <c r="AW17" s="60"/>
      <c r="AX17" s="60"/>
      <c r="AY17" s="60"/>
      <c r="AZ17" s="61"/>
      <c r="BA17" s="60"/>
      <c r="BB17" s="60"/>
      <c r="BC17" s="60"/>
      <c r="BD17" s="60" t="s">
        <v>42</v>
      </c>
      <c r="BE17" s="60" t="s">
        <v>42</v>
      </c>
      <c r="BF17" s="60" t="s">
        <v>42</v>
      </c>
      <c r="BG17" s="60" t="s">
        <v>42</v>
      </c>
      <c r="BH17" s="60" t="s">
        <v>42</v>
      </c>
      <c r="BI17" s="60" t="s">
        <v>42</v>
      </c>
      <c r="BJ17" s="60" t="s">
        <v>42</v>
      </c>
      <c r="BK17" s="60" t="s">
        <v>42</v>
      </c>
      <c r="BL17" s="60" t="s">
        <v>42</v>
      </c>
      <c r="BM17" s="127" t="s">
        <v>148</v>
      </c>
      <c r="BN17" s="60" t="s">
        <v>42</v>
      </c>
      <c r="BO17" s="60" t="s">
        <v>42</v>
      </c>
      <c r="BP17" s="127" t="s">
        <v>148</v>
      </c>
      <c r="BQ17" s="60" t="s">
        <v>42</v>
      </c>
    </row>
    <row r="18" spans="1:69" s="42" customFormat="1" ht="33" customHeight="1" thickBot="1" x14ac:dyDescent="0.35">
      <c r="A18" s="229" t="s">
        <v>219</v>
      </c>
      <c r="B18" s="227" t="s">
        <v>27</v>
      </c>
      <c r="C18" s="210">
        <v>63493347</v>
      </c>
      <c r="D18" s="220" t="s">
        <v>12</v>
      </c>
      <c r="E18" s="221">
        <v>3800000</v>
      </c>
      <c r="F18" s="219"/>
      <c r="G18" s="219"/>
      <c r="H18" s="218">
        <f>E18/2</f>
        <v>1900000</v>
      </c>
      <c r="I18" s="214">
        <v>45296</v>
      </c>
      <c r="J18" s="214">
        <v>45351</v>
      </c>
      <c r="K18" s="215" t="s">
        <v>220</v>
      </c>
      <c r="L18" s="214">
        <v>45293</v>
      </c>
      <c r="M18" s="215" t="s">
        <v>221</v>
      </c>
      <c r="N18" s="214">
        <v>45296</v>
      </c>
      <c r="O18" s="216">
        <f t="shared" si="0"/>
        <v>55</v>
      </c>
      <c r="P18" s="217"/>
      <c r="Q18" s="56" t="s">
        <v>42</v>
      </c>
      <c r="R18" s="57" t="s">
        <v>42</v>
      </c>
      <c r="S18" s="18"/>
      <c r="T18" s="18"/>
      <c r="U18" s="18"/>
      <c r="V18" s="18"/>
      <c r="W18" s="18"/>
      <c r="X18" s="18"/>
      <c r="Y18" s="18"/>
      <c r="Z18" s="18"/>
      <c r="AA18" s="18"/>
      <c r="AB18" s="121"/>
      <c r="AC18" s="56" t="s">
        <v>42</v>
      </c>
      <c r="AD18" s="57" t="s">
        <v>42</v>
      </c>
      <c r="AE18" s="18"/>
      <c r="AF18" s="18"/>
      <c r="AG18" s="18"/>
      <c r="AH18" s="18"/>
      <c r="AI18" s="18"/>
      <c r="AJ18" s="18"/>
      <c r="AK18" s="18"/>
      <c r="AL18" s="18"/>
      <c r="AM18" s="18"/>
      <c r="AN18" s="121"/>
      <c r="AO18" s="59" t="s">
        <v>42</v>
      </c>
      <c r="AP18" s="60" t="s">
        <v>42</v>
      </c>
      <c r="AQ18" s="122"/>
      <c r="AR18" s="122"/>
      <c r="AS18" s="122"/>
      <c r="AT18" s="122"/>
      <c r="AU18" s="122"/>
      <c r="AV18" s="122"/>
      <c r="AW18" s="122"/>
      <c r="AX18" s="122"/>
      <c r="AY18" s="122"/>
      <c r="AZ18" s="123"/>
      <c r="BA18" s="60" t="s">
        <v>42</v>
      </c>
      <c r="BB18" s="60" t="s">
        <v>42</v>
      </c>
      <c r="BC18" s="60" t="s">
        <v>42</v>
      </c>
      <c r="BD18" s="60" t="s">
        <v>42</v>
      </c>
      <c r="BE18" s="60" t="s">
        <v>42</v>
      </c>
      <c r="BF18" s="60" t="s">
        <v>42</v>
      </c>
      <c r="BG18" s="60" t="s">
        <v>42</v>
      </c>
      <c r="BH18" s="60" t="s">
        <v>42</v>
      </c>
      <c r="BI18" s="60" t="s">
        <v>42</v>
      </c>
      <c r="BJ18" s="60" t="s">
        <v>42</v>
      </c>
      <c r="BK18" s="60" t="s">
        <v>42</v>
      </c>
      <c r="BL18" s="60" t="s">
        <v>42</v>
      </c>
      <c r="BM18" s="127" t="s">
        <v>148</v>
      </c>
      <c r="BN18" s="60" t="s">
        <v>42</v>
      </c>
      <c r="BO18" s="60" t="s">
        <v>42</v>
      </c>
      <c r="BP18" s="127" t="s">
        <v>148</v>
      </c>
      <c r="BQ18" s="60" t="s">
        <v>42</v>
      </c>
    </row>
    <row r="19" spans="1:69" s="42" customFormat="1" ht="36" customHeight="1" thickBot="1" x14ac:dyDescent="0.35">
      <c r="A19" s="229" t="s">
        <v>222</v>
      </c>
      <c r="B19" s="227" t="s">
        <v>223</v>
      </c>
      <c r="C19" s="210">
        <v>28215661</v>
      </c>
      <c r="D19" s="220" t="s">
        <v>14</v>
      </c>
      <c r="E19" s="221">
        <v>19188000</v>
      </c>
      <c r="F19" s="219"/>
      <c r="G19" s="219"/>
      <c r="H19" s="218">
        <f>E19/12</f>
        <v>1599000</v>
      </c>
      <c r="I19" s="214">
        <v>45296</v>
      </c>
      <c r="J19" s="214">
        <v>45657</v>
      </c>
      <c r="K19" s="215" t="s">
        <v>267</v>
      </c>
      <c r="L19" s="214">
        <v>45293</v>
      </c>
      <c r="M19" s="215" t="s">
        <v>268</v>
      </c>
      <c r="N19" s="214">
        <v>45296</v>
      </c>
      <c r="O19" s="216">
        <f>J19-I19</f>
        <v>361</v>
      </c>
      <c r="P19" s="217"/>
      <c r="Q19" s="56" t="s">
        <v>42</v>
      </c>
      <c r="R19" s="57" t="s">
        <v>42</v>
      </c>
      <c r="S19" s="57"/>
      <c r="T19" s="57"/>
      <c r="U19" s="57"/>
      <c r="V19" s="57"/>
      <c r="W19" s="57"/>
      <c r="X19" s="57"/>
      <c r="Y19" s="57"/>
      <c r="Z19" s="57"/>
      <c r="AA19" s="57"/>
      <c r="AB19" s="58"/>
      <c r="AC19" s="56" t="s">
        <v>42</v>
      </c>
      <c r="AD19" s="57" t="s">
        <v>42</v>
      </c>
      <c r="AE19" s="57"/>
      <c r="AF19" s="57"/>
      <c r="AG19" s="57"/>
      <c r="AH19" s="57"/>
      <c r="AI19" s="57"/>
      <c r="AJ19" s="57"/>
      <c r="AK19" s="57"/>
      <c r="AL19" s="57"/>
      <c r="AM19" s="57"/>
      <c r="AN19" s="58"/>
      <c r="AO19" s="59" t="s">
        <v>42</v>
      </c>
      <c r="AP19" s="60" t="s">
        <v>42</v>
      </c>
      <c r="AQ19" s="60"/>
      <c r="AR19" s="60"/>
      <c r="AS19" s="60"/>
      <c r="AT19" s="60"/>
      <c r="AU19" s="60"/>
      <c r="AV19" s="60"/>
      <c r="AW19" s="60"/>
      <c r="AX19" s="60"/>
      <c r="AY19" s="60"/>
      <c r="AZ19" s="61"/>
      <c r="BA19" s="60"/>
      <c r="BB19" s="60"/>
      <c r="BC19" s="60"/>
      <c r="BD19" s="60" t="s">
        <v>42</v>
      </c>
      <c r="BE19" s="60" t="s">
        <v>42</v>
      </c>
      <c r="BF19" s="60" t="s">
        <v>42</v>
      </c>
      <c r="BG19" s="60" t="s">
        <v>42</v>
      </c>
      <c r="BH19" s="60" t="s">
        <v>42</v>
      </c>
      <c r="BI19" s="60" t="s">
        <v>42</v>
      </c>
      <c r="BJ19" s="60" t="s">
        <v>42</v>
      </c>
      <c r="BK19" s="60" t="s">
        <v>42</v>
      </c>
      <c r="BL19" s="60" t="s">
        <v>42</v>
      </c>
      <c r="BM19" s="127" t="s">
        <v>148</v>
      </c>
      <c r="BN19" s="60" t="s">
        <v>42</v>
      </c>
      <c r="BO19" s="60" t="s">
        <v>42</v>
      </c>
      <c r="BP19" s="127" t="s">
        <v>148</v>
      </c>
      <c r="BQ19" s="60" t="s">
        <v>42</v>
      </c>
    </row>
    <row r="20" spans="1:69" s="42" customFormat="1" ht="51.75" customHeight="1" thickBot="1" x14ac:dyDescent="0.35">
      <c r="A20" s="229" t="s">
        <v>224</v>
      </c>
      <c r="B20" s="227" t="s">
        <v>225</v>
      </c>
      <c r="C20" s="210">
        <v>1005156968</v>
      </c>
      <c r="D20" s="220" t="s">
        <v>226</v>
      </c>
      <c r="E20" s="221">
        <v>18801120</v>
      </c>
      <c r="F20" s="219"/>
      <c r="G20" s="219"/>
      <c r="H20" s="218">
        <f>E20/12</f>
        <v>1566760</v>
      </c>
      <c r="I20" s="214">
        <v>45296</v>
      </c>
      <c r="J20" s="214">
        <v>45657</v>
      </c>
      <c r="K20" s="215" t="s">
        <v>269</v>
      </c>
      <c r="L20" s="214">
        <v>45293</v>
      </c>
      <c r="M20" s="215" t="s">
        <v>270</v>
      </c>
      <c r="N20" s="214">
        <v>45296</v>
      </c>
      <c r="O20" s="216">
        <f t="shared" si="0"/>
        <v>361</v>
      </c>
      <c r="P20" s="217"/>
      <c r="Q20" s="56" t="s">
        <v>42</v>
      </c>
      <c r="R20" s="57" t="s">
        <v>42</v>
      </c>
      <c r="S20" s="57"/>
      <c r="T20" s="57"/>
      <c r="U20" s="57"/>
      <c r="V20" s="57"/>
      <c r="W20" s="57"/>
      <c r="X20" s="57"/>
      <c r="Y20" s="57"/>
      <c r="Z20" s="57"/>
      <c r="AA20" s="57"/>
      <c r="AB20" s="58"/>
      <c r="AC20" s="56" t="s">
        <v>42</v>
      </c>
      <c r="AD20" s="57" t="s">
        <v>42</v>
      </c>
      <c r="AE20" s="57"/>
      <c r="AF20" s="57"/>
      <c r="AG20" s="57"/>
      <c r="AH20" s="57"/>
      <c r="AI20" s="57"/>
      <c r="AJ20" s="57"/>
      <c r="AK20" s="57"/>
      <c r="AL20" s="57"/>
      <c r="AM20" s="57"/>
      <c r="AN20" s="58"/>
      <c r="AO20" s="59" t="s">
        <v>42</v>
      </c>
      <c r="AP20" s="60" t="s">
        <v>42</v>
      </c>
      <c r="AQ20" s="60"/>
      <c r="AR20" s="60"/>
      <c r="AS20" s="60"/>
      <c r="AT20" s="60"/>
      <c r="AU20" s="60"/>
      <c r="AV20" s="60"/>
      <c r="AW20" s="60"/>
      <c r="AX20" s="60"/>
      <c r="AY20" s="60"/>
      <c r="AZ20" s="61"/>
      <c r="BA20" s="60"/>
      <c r="BB20" s="60"/>
      <c r="BC20" s="60"/>
      <c r="BD20" s="60" t="s">
        <v>42</v>
      </c>
      <c r="BE20" s="60" t="s">
        <v>42</v>
      </c>
      <c r="BF20" s="60" t="s">
        <v>42</v>
      </c>
      <c r="BG20" s="60" t="s">
        <v>42</v>
      </c>
      <c r="BH20" s="60" t="s">
        <v>42</v>
      </c>
      <c r="BI20" s="60" t="s">
        <v>42</v>
      </c>
      <c r="BJ20" s="60" t="s">
        <v>42</v>
      </c>
      <c r="BK20" s="60" t="s">
        <v>42</v>
      </c>
      <c r="BL20" s="60" t="s">
        <v>42</v>
      </c>
      <c r="BM20" s="127" t="s">
        <v>148</v>
      </c>
      <c r="BN20" s="60" t="s">
        <v>42</v>
      </c>
      <c r="BO20" s="60" t="s">
        <v>42</v>
      </c>
      <c r="BP20" s="127" t="s">
        <v>148</v>
      </c>
      <c r="BQ20" s="60" t="s">
        <v>42</v>
      </c>
    </row>
    <row r="21" spans="1:69" s="42" customFormat="1" ht="87.75" customHeight="1" thickBot="1" x14ac:dyDescent="0.35">
      <c r="A21" s="229" t="s">
        <v>227</v>
      </c>
      <c r="B21" s="227" t="s">
        <v>81</v>
      </c>
      <c r="C21" s="210">
        <v>1099874808</v>
      </c>
      <c r="D21" s="220" t="s">
        <v>228</v>
      </c>
      <c r="E21" s="221">
        <v>45600000</v>
      </c>
      <c r="F21" s="219"/>
      <c r="G21" s="219"/>
      <c r="H21" s="218">
        <f>E21/12</f>
        <v>3800000</v>
      </c>
      <c r="I21" s="214">
        <v>45296</v>
      </c>
      <c r="J21" s="214">
        <v>45657</v>
      </c>
      <c r="K21" s="215" t="s">
        <v>271</v>
      </c>
      <c r="L21" s="214">
        <v>45293</v>
      </c>
      <c r="M21" s="215" t="s">
        <v>272</v>
      </c>
      <c r="N21" s="214">
        <v>45296</v>
      </c>
      <c r="O21" s="216">
        <f t="shared" si="0"/>
        <v>361</v>
      </c>
      <c r="P21" s="217"/>
      <c r="Q21" s="56" t="s">
        <v>42</v>
      </c>
      <c r="R21" s="57" t="s">
        <v>42</v>
      </c>
      <c r="S21" s="57"/>
      <c r="T21" s="57"/>
      <c r="U21" s="57"/>
      <c r="V21" s="57"/>
      <c r="W21" s="57"/>
      <c r="X21" s="57"/>
      <c r="Y21" s="57"/>
      <c r="Z21" s="57"/>
      <c r="AA21" s="57"/>
      <c r="AB21" s="58"/>
      <c r="AC21" s="56" t="s">
        <v>42</v>
      </c>
      <c r="AD21" s="57" t="s">
        <v>42</v>
      </c>
      <c r="AE21" s="57"/>
      <c r="AF21" s="57"/>
      <c r="AG21" s="57"/>
      <c r="AH21" s="57"/>
      <c r="AI21" s="57"/>
      <c r="AJ21" s="57"/>
      <c r="AK21" s="57"/>
      <c r="AL21" s="57"/>
      <c r="AM21" s="57"/>
      <c r="AN21" s="58"/>
      <c r="AO21" s="59" t="s">
        <v>42</v>
      </c>
      <c r="AP21" s="60" t="s">
        <v>42</v>
      </c>
      <c r="AQ21" s="60"/>
      <c r="AR21" s="60"/>
      <c r="AS21" s="60"/>
      <c r="AT21" s="60"/>
      <c r="AU21" s="60"/>
      <c r="AV21" s="60"/>
      <c r="AW21" s="60"/>
      <c r="AX21" s="60"/>
      <c r="AY21" s="60"/>
      <c r="AZ21" s="61"/>
      <c r="BA21" s="60"/>
      <c r="BB21" s="60"/>
      <c r="BC21" s="60"/>
      <c r="BD21" s="60" t="s">
        <v>42</v>
      </c>
      <c r="BE21" s="60" t="s">
        <v>42</v>
      </c>
      <c r="BF21" s="60" t="s">
        <v>42</v>
      </c>
      <c r="BG21" s="60" t="s">
        <v>42</v>
      </c>
      <c r="BH21" s="60" t="s">
        <v>42</v>
      </c>
      <c r="BI21" s="60" t="s">
        <v>42</v>
      </c>
      <c r="BJ21" s="60" t="s">
        <v>42</v>
      </c>
      <c r="BK21" s="60" t="s">
        <v>42</v>
      </c>
      <c r="BL21" s="60" t="s">
        <v>42</v>
      </c>
      <c r="BM21" s="127" t="s">
        <v>148</v>
      </c>
      <c r="BN21" s="60" t="s">
        <v>42</v>
      </c>
      <c r="BO21" s="60" t="s">
        <v>42</v>
      </c>
      <c r="BP21" s="127" t="s">
        <v>148</v>
      </c>
      <c r="BQ21" s="60" t="s">
        <v>42</v>
      </c>
    </row>
    <row r="22" spans="1:69" s="42" customFormat="1" ht="84" customHeight="1" thickBot="1" x14ac:dyDescent="0.35">
      <c r="A22" s="229" t="s">
        <v>229</v>
      </c>
      <c r="B22" s="228" t="s">
        <v>84</v>
      </c>
      <c r="C22" s="210">
        <v>91258841</v>
      </c>
      <c r="D22" s="220" t="s">
        <v>230</v>
      </c>
      <c r="E22" s="221">
        <v>2050000</v>
      </c>
      <c r="F22" s="219"/>
      <c r="G22" s="219"/>
      <c r="H22" s="218">
        <f>E22</f>
        <v>2050000</v>
      </c>
      <c r="I22" s="214">
        <v>45296</v>
      </c>
      <c r="J22" s="214">
        <v>45322</v>
      </c>
      <c r="K22" s="215" t="s">
        <v>232</v>
      </c>
      <c r="L22" s="214">
        <v>45293</v>
      </c>
      <c r="M22" s="215" t="s">
        <v>233</v>
      </c>
      <c r="N22" s="214">
        <v>45296</v>
      </c>
      <c r="O22" s="216">
        <f t="shared" si="0"/>
        <v>26</v>
      </c>
      <c r="P22" s="217"/>
      <c r="Q22" s="56" t="s">
        <v>42</v>
      </c>
      <c r="R22" s="18"/>
      <c r="S22" s="18"/>
      <c r="T22" s="18"/>
      <c r="U22" s="18"/>
      <c r="V22" s="18"/>
      <c r="W22" s="18"/>
      <c r="X22" s="18"/>
      <c r="Y22" s="18"/>
      <c r="Z22" s="18"/>
      <c r="AA22" s="18"/>
      <c r="AB22" s="121"/>
      <c r="AC22" s="56" t="s">
        <v>42</v>
      </c>
      <c r="AD22" s="18"/>
      <c r="AE22" s="18"/>
      <c r="AF22" s="18"/>
      <c r="AG22" s="18"/>
      <c r="AH22" s="18"/>
      <c r="AI22" s="18"/>
      <c r="AJ22" s="18"/>
      <c r="AK22" s="18"/>
      <c r="AL22" s="18"/>
      <c r="AM22" s="18"/>
      <c r="AN22" s="121"/>
      <c r="AO22" s="59" t="s">
        <v>42</v>
      </c>
      <c r="AP22" s="122"/>
      <c r="AQ22" s="122"/>
      <c r="AR22" s="122"/>
      <c r="AS22" s="122"/>
      <c r="AT22" s="122"/>
      <c r="AU22" s="122"/>
      <c r="AV22" s="122"/>
      <c r="AW22" s="122"/>
      <c r="AX22" s="122"/>
      <c r="AY22" s="122"/>
      <c r="AZ22" s="123"/>
      <c r="BA22" s="60" t="s">
        <v>42</v>
      </c>
      <c r="BB22" s="60" t="s">
        <v>42</v>
      </c>
      <c r="BC22" s="60" t="s">
        <v>42</v>
      </c>
      <c r="BD22" s="60" t="s">
        <v>42</v>
      </c>
      <c r="BE22" s="60" t="s">
        <v>42</v>
      </c>
      <c r="BF22" s="60" t="s">
        <v>42</v>
      </c>
      <c r="BG22" s="60" t="s">
        <v>42</v>
      </c>
      <c r="BH22" s="60" t="s">
        <v>42</v>
      </c>
      <c r="BI22" s="60" t="s">
        <v>42</v>
      </c>
      <c r="BJ22" s="60" t="s">
        <v>42</v>
      </c>
      <c r="BK22" s="60" t="s">
        <v>42</v>
      </c>
      <c r="BL22" s="60" t="s">
        <v>42</v>
      </c>
      <c r="BM22" s="127" t="s">
        <v>148</v>
      </c>
      <c r="BN22" s="60" t="s">
        <v>42</v>
      </c>
      <c r="BO22" s="60" t="s">
        <v>42</v>
      </c>
      <c r="BP22" s="127" t="s">
        <v>148</v>
      </c>
      <c r="BQ22" s="60" t="s">
        <v>42</v>
      </c>
    </row>
    <row r="23" spans="1:69" s="55" customFormat="1" ht="62.25" customHeight="1" thickBot="1" x14ac:dyDescent="0.3">
      <c r="A23" s="231" t="s">
        <v>231</v>
      </c>
      <c r="B23" s="227" t="s">
        <v>70</v>
      </c>
      <c r="C23" s="210">
        <v>1099874837</v>
      </c>
      <c r="D23" s="224" t="s">
        <v>234</v>
      </c>
      <c r="E23" s="233">
        <v>25200000</v>
      </c>
      <c r="F23" s="219"/>
      <c r="G23" s="219"/>
      <c r="H23" s="213">
        <f t="shared" ref="H23:H31" si="2">E23/12</f>
        <v>2100000</v>
      </c>
      <c r="I23" s="214">
        <v>45296</v>
      </c>
      <c r="J23" s="214">
        <v>45657</v>
      </c>
      <c r="K23" s="215" t="s">
        <v>235</v>
      </c>
      <c r="L23" s="214">
        <v>45293</v>
      </c>
      <c r="M23" s="215" t="s">
        <v>236</v>
      </c>
      <c r="N23" s="214">
        <v>45296</v>
      </c>
      <c r="O23" s="216">
        <f t="shared" si="0"/>
        <v>361</v>
      </c>
      <c r="P23" s="217"/>
      <c r="Q23" s="56" t="s">
        <v>42</v>
      </c>
      <c r="R23" s="57" t="s">
        <v>42</v>
      </c>
      <c r="S23" s="57"/>
      <c r="T23" s="57"/>
      <c r="U23" s="57"/>
      <c r="V23" s="57"/>
      <c r="W23" s="57"/>
      <c r="X23" s="57"/>
      <c r="Y23" s="57"/>
      <c r="Z23" s="57"/>
      <c r="AA23" s="57"/>
      <c r="AB23" s="58"/>
      <c r="AC23" s="56" t="s">
        <v>42</v>
      </c>
      <c r="AD23" s="57" t="s">
        <v>42</v>
      </c>
      <c r="AE23" s="57"/>
      <c r="AF23" s="57"/>
      <c r="AG23" s="57"/>
      <c r="AH23" s="57"/>
      <c r="AI23" s="57"/>
      <c r="AJ23" s="57"/>
      <c r="AK23" s="57"/>
      <c r="AL23" s="57"/>
      <c r="AM23" s="57"/>
      <c r="AN23" s="58"/>
      <c r="AO23" s="59" t="s">
        <v>42</v>
      </c>
      <c r="AP23" s="60" t="s">
        <v>42</v>
      </c>
      <c r="AQ23" s="60"/>
      <c r="AR23" s="60"/>
      <c r="AS23" s="60"/>
      <c r="AT23" s="60"/>
      <c r="AU23" s="60"/>
      <c r="AV23" s="60"/>
      <c r="AW23" s="60"/>
      <c r="AX23" s="60"/>
      <c r="AY23" s="60"/>
      <c r="AZ23" s="61"/>
      <c r="BA23" s="60"/>
      <c r="BB23" s="60"/>
      <c r="BC23" s="60"/>
      <c r="BD23" s="71" t="s">
        <v>42</v>
      </c>
      <c r="BE23" s="71" t="s">
        <v>42</v>
      </c>
      <c r="BF23" s="71" t="s">
        <v>42</v>
      </c>
      <c r="BG23" s="71" t="s">
        <v>42</v>
      </c>
      <c r="BH23" s="71" t="s">
        <v>42</v>
      </c>
      <c r="BI23" s="71" t="s">
        <v>42</v>
      </c>
      <c r="BJ23" s="71" t="s">
        <v>42</v>
      </c>
      <c r="BK23" s="71" t="s">
        <v>42</v>
      </c>
      <c r="BL23" s="71" t="s">
        <v>42</v>
      </c>
      <c r="BM23" s="127" t="s">
        <v>148</v>
      </c>
      <c r="BN23" s="71" t="s">
        <v>42</v>
      </c>
      <c r="BO23" s="71" t="s">
        <v>42</v>
      </c>
      <c r="BP23" s="127" t="s">
        <v>148</v>
      </c>
      <c r="BQ23" s="71" t="s">
        <v>42</v>
      </c>
    </row>
    <row r="24" spans="1:69" s="55" customFormat="1" ht="60.75" customHeight="1" thickBot="1" x14ac:dyDescent="0.35">
      <c r="A24" s="231" t="s">
        <v>237</v>
      </c>
      <c r="B24" s="232" t="s">
        <v>66</v>
      </c>
      <c r="C24" s="210">
        <v>1095838126</v>
      </c>
      <c r="D24" s="220" t="s">
        <v>105</v>
      </c>
      <c r="E24" s="233">
        <v>16873200</v>
      </c>
      <c r="F24" s="219"/>
      <c r="G24" s="219"/>
      <c r="H24" s="213">
        <f t="shared" si="2"/>
        <v>1406100</v>
      </c>
      <c r="I24" s="214">
        <v>45296</v>
      </c>
      <c r="J24" s="214">
        <v>45657</v>
      </c>
      <c r="K24" s="215" t="s">
        <v>238</v>
      </c>
      <c r="L24" s="214">
        <v>45293</v>
      </c>
      <c r="M24" s="215" t="s">
        <v>239</v>
      </c>
      <c r="N24" s="214">
        <v>45296</v>
      </c>
      <c r="O24" s="216">
        <f t="shared" si="0"/>
        <v>361</v>
      </c>
      <c r="P24" s="217"/>
      <c r="Q24" s="56" t="s">
        <v>42</v>
      </c>
      <c r="R24" s="57" t="s">
        <v>42</v>
      </c>
      <c r="S24" s="57"/>
      <c r="T24" s="57"/>
      <c r="U24" s="57"/>
      <c r="V24" s="57"/>
      <c r="W24" s="57"/>
      <c r="X24" s="57"/>
      <c r="Y24" s="57"/>
      <c r="Z24" s="57"/>
      <c r="AA24" s="57"/>
      <c r="AB24" s="58"/>
      <c r="AC24" s="56" t="s">
        <v>42</v>
      </c>
      <c r="AD24" s="57" t="s">
        <v>42</v>
      </c>
      <c r="AE24" s="57"/>
      <c r="AF24" s="57"/>
      <c r="AG24" s="57"/>
      <c r="AH24" s="57"/>
      <c r="AI24" s="57"/>
      <c r="AJ24" s="57"/>
      <c r="AK24" s="57"/>
      <c r="AL24" s="57"/>
      <c r="AM24" s="57"/>
      <c r="AN24" s="58"/>
      <c r="AO24" s="59" t="s">
        <v>42</v>
      </c>
      <c r="AP24" s="60" t="s">
        <v>42</v>
      </c>
      <c r="AQ24" s="60"/>
      <c r="AR24" s="60"/>
      <c r="AS24" s="60"/>
      <c r="AT24" s="60"/>
      <c r="AU24" s="60"/>
      <c r="AV24" s="60"/>
      <c r="AW24" s="60"/>
      <c r="AX24" s="60"/>
      <c r="AY24" s="60"/>
      <c r="AZ24" s="61"/>
      <c r="BA24" s="60"/>
      <c r="BB24" s="60"/>
      <c r="BC24" s="60"/>
      <c r="BD24" s="71" t="s">
        <v>42</v>
      </c>
      <c r="BE24" s="71" t="s">
        <v>42</v>
      </c>
      <c r="BF24" s="71" t="s">
        <v>42</v>
      </c>
      <c r="BG24" s="71" t="s">
        <v>42</v>
      </c>
      <c r="BH24" s="71" t="s">
        <v>42</v>
      </c>
      <c r="BI24" s="71" t="s">
        <v>42</v>
      </c>
      <c r="BJ24" s="71" t="s">
        <v>42</v>
      </c>
      <c r="BK24" s="71" t="s">
        <v>42</v>
      </c>
      <c r="BL24" s="71" t="s">
        <v>42</v>
      </c>
      <c r="BM24" s="127" t="s">
        <v>148</v>
      </c>
      <c r="BN24" s="71" t="s">
        <v>42</v>
      </c>
      <c r="BO24" s="71" t="s">
        <v>42</v>
      </c>
      <c r="BP24" s="127" t="s">
        <v>42</v>
      </c>
      <c r="BQ24" s="71" t="s">
        <v>42</v>
      </c>
    </row>
    <row r="25" spans="1:69" s="42" customFormat="1" ht="55.5" customHeight="1" thickBot="1" x14ac:dyDescent="0.35">
      <c r="A25" s="229" t="s">
        <v>240</v>
      </c>
      <c r="B25" s="227" t="s">
        <v>241</v>
      </c>
      <c r="C25" s="210">
        <v>1098735443</v>
      </c>
      <c r="D25" s="220" t="s">
        <v>13</v>
      </c>
      <c r="E25" s="221">
        <v>22800000</v>
      </c>
      <c r="F25" s="219"/>
      <c r="G25" s="219"/>
      <c r="H25" s="218">
        <f t="shared" si="2"/>
        <v>1900000</v>
      </c>
      <c r="I25" s="214">
        <v>45296</v>
      </c>
      <c r="J25" s="214">
        <v>45657</v>
      </c>
      <c r="K25" s="215" t="s">
        <v>189</v>
      </c>
      <c r="L25" s="214">
        <v>45293</v>
      </c>
      <c r="M25" s="215" t="s">
        <v>242</v>
      </c>
      <c r="N25" s="214">
        <v>45296</v>
      </c>
      <c r="O25" s="216">
        <f t="shared" si="0"/>
        <v>361</v>
      </c>
      <c r="P25" s="217"/>
      <c r="Q25" s="56" t="s">
        <v>42</v>
      </c>
      <c r="R25" s="57" t="s">
        <v>42</v>
      </c>
      <c r="S25" s="57"/>
      <c r="T25" s="57"/>
      <c r="U25" s="57"/>
      <c r="V25" s="57"/>
      <c r="W25" s="57"/>
      <c r="X25" s="57"/>
      <c r="Y25" s="57"/>
      <c r="Z25" s="57"/>
      <c r="AA25" s="57"/>
      <c r="AB25" s="58"/>
      <c r="AC25" s="56" t="s">
        <v>42</v>
      </c>
      <c r="AD25" s="57" t="s">
        <v>42</v>
      </c>
      <c r="AE25" s="57"/>
      <c r="AF25" s="57"/>
      <c r="AG25" s="57"/>
      <c r="AH25" s="57"/>
      <c r="AI25" s="57"/>
      <c r="AJ25" s="57"/>
      <c r="AK25" s="57"/>
      <c r="AL25" s="57"/>
      <c r="AM25" s="57"/>
      <c r="AN25" s="58"/>
      <c r="AO25" s="59" t="s">
        <v>42</v>
      </c>
      <c r="AP25" s="60" t="s">
        <v>42</v>
      </c>
      <c r="AQ25" s="60"/>
      <c r="AR25" s="60"/>
      <c r="AS25" s="60"/>
      <c r="AT25" s="60"/>
      <c r="AU25" s="60"/>
      <c r="AV25" s="60"/>
      <c r="AW25" s="60"/>
      <c r="AX25" s="60"/>
      <c r="AY25" s="60"/>
      <c r="AZ25" s="61"/>
      <c r="BA25" s="60"/>
      <c r="BB25" s="60"/>
      <c r="BC25" s="60"/>
      <c r="BD25" s="60" t="s">
        <v>42</v>
      </c>
      <c r="BE25" s="60" t="s">
        <v>42</v>
      </c>
      <c r="BF25" s="60" t="s">
        <v>42</v>
      </c>
      <c r="BG25" s="60" t="s">
        <v>42</v>
      </c>
      <c r="BH25" s="60" t="s">
        <v>42</v>
      </c>
      <c r="BI25" s="60" t="s">
        <v>42</v>
      </c>
      <c r="BJ25" s="60" t="s">
        <v>42</v>
      </c>
      <c r="BK25" s="60" t="s">
        <v>42</v>
      </c>
      <c r="BL25" s="60" t="s">
        <v>42</v>
      </c>
      <c r="BM25" s="127" t="s">
        <v>148</v>
      </c>
      <c r="BN25" s="60" t="s">
        <v>42</v>
      </c>
      <c r="BO25" s="60" t="s">
        <v>42</v>
      </c>
      <c r="BP25" s="127" t="s">
        <v>148</v>
      </c>
      <c r="BQ25" s="60" t="s">
        <v>42</v>
      </c>
    </row>
    <row r="26" spans="1:69" s="42" customFormat="1" ht="72" customHeight="1" thickBot="1" x14ac:dyDescent="0.35">
      <c r="A26" s="229" t="s">
        <v>243</v>
      </c>
      <c r="B26" s="227" t="s">
        <v>244</v>
      </c>
      <c r="C26" s="210" t="s">
        <v>101</v>
      </c>
      <c r="D26" s="235" t="s">
        <v>67</v>
      </c>
      <c r="E26" s="221">
        <v>15600000</v>
      </c>
      <c r="F26" s="219"/>
      <c r="G26" s="219"/>
      <c r="H26" s="218">
        <f t="shared" si="2"/>
        <v>1300000</v>
      </c>
      <c r="I26" s="214">
        <v>45296</v>
      </c>
      <c r="J26" s="214">
        <v>45657</v>
      </c>
      <c r="K26" s="215" t="s">
        <v>194</v>
      </c>
      <c r="L26" s="214">
        <v>45293</v>
      </c>
      <c r="M26" s="215" t="s">
        <v>245</v>
      </c>
      <c r="N26" s="214">
        <v>45296</v>
      </c>
      <c r="O26" s="216">
        <f t="shared" si="0"/>
        <v>361</v>
      </c>
      <c r="P26" s="217"/>
      <c r="Q26" s="56" t="s">
        <v>42</v>
      </c>
      <c r="R26" s="57" t="s">
        <v>42</v>
      </c>
      <c r="S26" s="57"/>
      <c r="T26" s="57"/>
      <c r="U26" s="57"/>
      <c r="V26" s="57"/>
      <c r="W26" s="57"/>
      <c r="X26" s="57"/>
      <c r="Y26" s="57"/>
      <c r="Z26" s="57"/>
      <c r="AA26" s="57"/>
      <c r="AB26" s="58"/>
      <c r="AC26" s="56" t="s">
        <v>42</v>
      </c>
      <c r="AD26" s="57" t="s">
        <v>42</v>
      </c>
      <c r="AE26" s="57"/>
      <c r="AF26" s="57"/>
      <c r="AG26" s="57"/>
      <c r="AH26" s="57"/>
      <c r="AI26" s="57"/>
      <c r="AJ26" s="57"/>
      <c r="AK26" s="57"/>
      <c r="AL26" s="57"/>
      <c r="AM26" s="57"/>
      <c r="AN26" s="58"/>
      <c r="AO26" s="59" t="s">
        <v>42</v>
      </c>
      <c r="AP26" s="60" t="s">
        <v>42</v>
      </c>
      <c r="AQ26" s="60"/>
      <c r="AR26" s="60"/>
      <c r="AS26" s="60"/>
      <c r="AT26" s="60"/>
      <c r="AU26" s="60"/>
      <c r="AV26" s="60"/>
      <c r="AW26" s="60"/>
      <c r="AX26" s="60"/>
      <c r="AY26" s="60"/>
      <c r="AZ26" s="61"/>
      <c r="BA26" s="60"/>
      <c r="BB26" s="60"/>
      <c r="BC26" s="60"/>
      <c r="BD26" s="60" t="s">
        <v>42</v>
      </c>
      <c r="BE26" s="60" t="s">
        <v>42</v>
      </c>
      <c r="BF26" s="60" t="s">
        <v>42</v>
      </c>
      <c r="BG26" s="60" t="s">
        <v>42</v>
      </c>
      <c r="BH26" s="60" t="s">
        <v>42</v>
      </c>
      <c r="BI26" s="60" t="s">
        <v>42</v>
      </c>
      <c r="BJ26" s="60" t="s">
        <v>42</v>
      </c>
      <c r="BK26" s="60" t="s">
        <v>42</v>
      </c>
      <c r="BL26" s="60" t="s">
        <v>42</v>
      </c>
      <c r="BM26" s="127" t="s">
        <v>42</v>
      </c>
      <c r="BN26" s="60" t="s">
        <v>42</v>
      </c>
      <c r="BO26" s="60" t="s">
        <v>42</v>
      </c>
      <c r="BP26" s="127" t="s">
        <v>148</v>
      </c>
      <c r="BQ26" s="60" t="s">
        <v>42</v>
      </c>
    </row>
    <row r="27" spans="1:69" s="42" customFormat="1" ht="59.25" customHeight="1" thickBot="1" x14ac:dyDescent="0.35">
      <c r="A27" s="229" t="s">
        <v>246</v>
      </c>
      <c r="B27" s="227" t="s">
        <v>21</v>
      </c>
      <c r="C27" s="234">
        <v>63347214</v>
      </c>
      <c r="D27" s="220" t="s">
        <v>91</v>
      </c>
      <c r="E27" s="221">
        <v>25610400</v>
      </c>
      <c r="F27" s="219"/>
      <c r="G27" s="219"/>
      <c r="H27" s="218">
        <f t="shared" si="2"/>
        <v>2134200</v>
      </c>
      <c r="I27" s="214">
        <v>45296</v>
      </c>
      <c r="J27" s="214">
        <v>45657</v>
      </c>
      <c r="K27" s="215" t="s">
        <v>198</v>
      </c>
      <c r="L27" s="214">
        <v>45293</v>
      </c>
      <c r="M27" s="215" t="s">
        <v>247</v>
      </c>
      <c r="N27" s="214">
        <v>45296</v>
      </c>
      <c r="O27" s="216">
        <f t="shared" si="0"/>
        <v>361</v>
      </c>
      <c r="P27" s="217"/>
      <c r="Q27" s="56" t="s">
        <v>42</v>
      </c>
      <c r="R27" s="57" t="s">
        <v>42</v>
      </c>
      <c r="S27" s="57"/>
      <c r="T27" s="57"/>
      <c r="U27" s="57"/>
      <c r="V27" s="57"/>
      <c r="W27" s="57"/>
      <c r="X27" s="57"/>
      <c r="Y27" s="57"/>
      <c r="Z27" s="57"/>
      <c r="AA27" s="57"/>
      <c r="AB27" s="58"/>
      <c r="AC27" s="56" t="s">
        <v>42</v>
      </c>
      <c r="AD27" s="57" t="s">
        <v>42</v>
      </c>
      <c r="AE27" s="57"/>
      <c r="AF27" s="57"/>
      <c r="AG27" s="57"/>
      <c r="AH27" s="57"/>
      <c r="AI27" s="57"/>
      <c r="AJ27" s="57"/>
      <c r="AK27" s="57"/>
      <c r="AL27" s="57"/>
      <c r="AM27" s="57"/>
      <c r="AN27" s="58"/>
      <c r="AO27" s="59" t="s">
        <v>42</v>
      </c>
      <c r="AP27" s="60" t="s">
        <v>42</v>
      </c>
      <c r="AQ27" s="60"/>
      <c r="AR27" s="60"/>
      <c r="AS27" s="60"/>
      <c r="AT27" s="60"/>
      <c r="AU27" s="60"/>
      <c r="AV27" s="60"/>
      <c r="AW27" s="60"/>
      <c r="AX27" s="60"/>
      <c r="AY27" s="60"/>
      <c r="AZ27" s="61"/>
      <c r="BA27" s="60"/>
      <c r="BB27" s="60"/>
      <c r="BC27" s="60"/>
      <c r="BD27" s="72" t="s">
        <v>42</v>
      </c>
      <c r="BE27" s="72" t="s">
        <v>42</v>
      </c>
      <c r="BF27" s="72" t="s">
        <v>42</v>
      </c>
      <c r="BG27" s="72" t="s">
        <v>42</v>
      </c>
      <c r="BH27" s="72" t="s">
        <v>42</v>
      </c>
      <c r="BI27" s="72" t="s">
        <v>42</v>
      </c>
      <c r="BJ27" s="72" t="s">
        <v>42</v>
      </c>
      <c r="BK27" s="72" t="s">
        <v>42</v>
      </c>
      <c r="BL27" s="72" t="s">
        <v>42</v>
      </c>
      <c r="BM27" s="127" t="s">
        <v>148</v>
      </c>
      <c r="BN27" s="72" t="s">
        <v>42</v>
      </c>
      <c r="BO27" s="72" t="s">
        <v>42</v>
      </c>
      <c r="BP27" s="127" t="s">
        <v>148</v>
      </c>
      <c r="BQ27" s="72" t="s">
        <v>42</v>
      </c>
    </row>
    <row r="28" spans="1:69" s="55" customFormat="1" ht="103.5" customHeight="1" thickBot="1" x14ac:dyDescent="0.3">
      <c r="A28" s="229" t="s">
        <v>248</v>
      </c>
      <c r="B28" s="227" t="s">
        <v>249</v>
      </c>
      <c r="C28" s="234" t="s">
        <v>114</v>
      </c>
      <c r="D28" s="224" t="s">
        <v>115</v>
      </c>
      <c r="E28" s="221">
        <v>6556800</v>
      </c>
      <c r="F28" s="219"/>
      <c r="G28" s="219"/>
      <c r="H28" s="218">
        <f t="shared" si="2"/>
        <v>546400</v>
      </c>
      <c r="I28" s="214">
        <v>45296</v>
      </c>
      <c r="J28" s="214">
        <v>45657</v>
      </c>
      <c r="K28" s="215" t="s">
        <v>202</v>
      </c>
      <c r="L28" s="214">
        <v>45293</v>
      </c>
      <c r="M28" s="215" t="s">
        <v>250</v>
      </c>
      <c r="N28" s="214">
        <v>45296</v>
      </c>
      <c r="O28" s="216">
        <f>J28-I28</f>
        <v>361</v>
      </c>
      <c r="P28" s="217"/>
      <c r="Q28" s="56" t="s">
        <v>42</v>
      </c>
      <c r="R28" s="57" t="s">
        <v>42</v>
      </c>
      <c r="S28" s="57"/>
      <c r="T28" s="57"/>
      <c r="U28" s="57"/>
      <c r="V28" s="57"/>
      <c r="W28" s="57"/>
      <c r="X28" s="57"/>
      <c r="Y28" s="57"/>
      <c r="Z28" s="57"/>
      <c r="AA28" s="57"/>
      <c r="AB28" s="58"/>
      <c r="AC28" s="56" t="s">
        <v>42</v>
      </c>
      <c r="AD28" s="57" t="s">
        <v>42</v>
      </c>
      <c r="AE28" s="57"/>
      <c r="AF28" s="57"/>
      <c r="AG28" s="57"/>
      <c r="AH28" s="57"/>
      <c r="AI28" s="57"/>
      <c r="AJ28" s="57"/>
      <c r="AK28" s="57"/>
      <c r="AL28" s="57"/>
      <c r="AM28" s="57"/>
      <c r="AN28" s="58"/>
      <c r="AO28" s="59" t="s">
        <v>42</v>
      </c>
      <c r="AP28" s="60" t="s">
        <v>42</v>
      </c>
      <c r="AQ28" s="60"/>
      <c r="AR28" s="60"/>
      <c r="AS28" s="60"/>
      <c r="AT28" s="60"/>
      <c r="AU28" s="60"/>
      <c r="AV28" s="60"/>
      <c r="AW28" s="60"/>
      <c r="AX28" s="60"/>
      <c r="AY28" s="60"/>
      <c r="AZ28" s="61"/>
      <c r="BA28" s="60"/>
      <c r="BB28" s="60"/>
      <c r="BC28" s="60"/>
      <c r="BD28" s="71" t="s">
        <v>42</v>
      </c>
      <c r="BE28" s="71" t="s">
        <v>42</v>
      </c>
      <c r="BF28" s="71" t="s">
        <v>42</v>
      </c>
      <c r="BG28" s="71" t="s">
        <v>42</v>
      </c>
      <c r="BH28" s="71" t="s">
        <v>42</v>
      </c>
      <c r="BI28" s="71" t="s">
        <v>42</v>
      </c>
      <c r="BJ28" s="71" t="s">
        <v>42</v>
      </c>
      <c r="BK28" s="71" t="s">
        <v>42</v>
      </c>
      <c r="BL28" s="71" t="s">
        <v>42</v>
      </c>
      <c r="BM28" s="127" t="s">
        <v>148</v>
      </c>
      <c r="BN28" s="71" t="s">
        <v>42</v>
      </c>
      <c r="BO28" s="71" t="s">
        <v>42</v>
      </c>
      <c r="BP28" s="127" t="s">
        <v>148</v>
      </c>
      <c r="BQ28" s="71" t="s">
        <v>42</v>
      </c>
    </row>
    <row r="29" spans="1:69" s="55" customFormat="1" ht="68.25" customHeight="1" thickBot="1" x14ac:dyDescent="0.35">
      <c r="A29" s="229" t="s">
        <v>251</v>
      </c>
      <c r="B29" s="225" t="s">
        <v>252</v>
      </c>
      <c r="C29" s="210">
        <v>37551863</v>
      </c>
      <c r="D29" s="220" t="s">
        <v>108</v>
      </c>
      <c r="E29" s="221">
        <v>13113600</v>
      </c>
      <c r="F29" s="219"/>
      <c r="G29" s="219"/>
      <c r="H29" s="218">
        <f t="shared" si="2"/>
        <v>1092800</v>
      </c>
      <c r="I29" s="214">
        <v>45296</v>
      </c>
      <c r="J29" s="214">
        <v>45657</v>
      </c>
      <c r="K29" s="215" t="s">
        <v>205</v>
      </c>
      <c r="L29" s="214">
        <v>45293</v>
      </c>
      <c r="M29" s="215" t="s">
        <v>253</v>
      </c>
      <c r="N29" s="214">
        <v>45296</v>
      </c>
      <c r="O29" s="216">
        <f t="shared" ref="O29:O37" si="3">J29-I29</f>
        <v>361</v>
      </c>
      <c r="P29" s="217"/>
      <c r="Q29" s="56" t="s">
        <v>42</v>
      </c>
      <c r="R29" s="57" t="s">
        <v>42</v>
      </c>
      <c r="S29" s="57"/>
      <c r="T29" s="57"/>
      <c r="U29" s="57"/>
      <c r="V29" s="57"/>
      <c r="W29" s="57"/>
      <c r="X29" s="57"/>
      <c r="Y29" s="57"/>
      <c r="Z29" s="57"/>
      <c r="AA29" s="57"/>
      <c r="AB29" s="58"/>
      <c r="AC29" s="56" t="s">
        <v>42</v>
      </c>
      <c r="AD29" s="57" t="s">
        <v>42</v>
      </c>
      <c r="AE29" s="57"/>
      <c r="AF29" s="57"/>
      <c r="AG29" s="57"/>
      <c r="AH29" s="57"/>
      <c r="AI29" s="57"/>
      <c r="AJ29" s="57"/>
      <c r="AK29" s="57"/>
      <c r="AL29" s="57"/>
      <c r="AM29" s="57"/>
      <c r="AN29" s="58"/>
      <c r="AO29" s="59" t="s">
        <v>42</v>
      </c>
      <c r="AP29" s="60" t="s">
        <v>42</v>
      </c>
      <c r="AQ29" s="60"/>
      <c r="AR29" s="60"/>
      <c r="AS29" s="60"/>
      <c r="AT29" s="60"/>
      <c r="AU29" s="60"/>
      <c r="AV29" s="60"/>
      <c r="AW29" s="60"/>
      <c r="AX29" s="60"/>
      <c r="AY29" s="60"/>
      <c r="AZ29" s="61"/>
      <c r="BA29" s="60"/>
      <c r="BB29" s="60"/>
      <c r="BC29" s="60"/>
      <c r="BD29" s="60" t="s">
        <v>43</v>
      </c>
      <c r="BE29" s="60" t="s">
        <v>43</v>
      </c>
      <c r="BF29" s="60" t="s">
        <v>43</v>
      </c>
      <c r="BG29" s="60" t="s">
        <v>43</v>
      </c>
      <c r="BH29" s="60" t="s">
        <v>43</v>
      </c>
      <c r="BI29" s="60" t="s">
        <v>43</v>
      </c>
      <c r="BJ29" s="60" t="s">
        <v>43</v>
      </c>
      <c r="BK29" s="60" t="s">
        <v>43</v>
      </c>
      <c r="BL29" s="60" t="s">
        <v>43</v>
      </c>
      <c r="BM29" s="60" t="s">
        <v>43</v>
      </c>
      <c r="BN29" s="60" t="s">
        <v>43</v>
      </c>
      <c r="BO29" s="60" t="s">
        <v>43</v>
      </c>
      <c r="BP29" s="127" t="s">
        <v>148</v>
      </c>
      <c r="BQ29" s="60" t="s">
        <v>43</v>
      </c>
    </row>
    <row r="30" spans="1:69" s="55" customFormat="1" ht="76.5" customHeight="1" thickBot="1" x14ac:dyDescent="0.3">
      <c r="A30" s="236" t="s">
        <v>254</v>
      </c>
      <c r="B30" s="237" t="s">
        <v>255</v>
      </c>
      <c r="C30" s="238" t="s">
        <v>118</v>
      </c>
      <c r="D30" s="224" t="s">
        <v>119</v>
      </c>
      <c r="E30" s="221">
        <v>16680000</v>
      </c>
      <c r="F30" s="219"/>
      <c r="G30" s="219"/>
      <c r="H30" s="218">
        <f t="shared" si="2"/>
        <v>1390000</v>
      </c>
      <c r="I30" s="214">
        <v>45296</v>
      </c>
      <c r="J30" s="214">
        <v>45657</v>
      </c>
      <c r="K30" s="215" t="s">
        <v>209</v>
      </c>
      <c r="L30" s="214">
        <v>45293</v>
      </c>
      <c r="M30" s="215" t="s">
        <v>273</v>
      </c>
      <c r="N30" s="214">
        <v>45296</v>
      </c>
      <c r="O30" s="216">
        <f t="shared" si="3"/>
        <v>361</v>
      </c>
      <c r="P30" s="217"/>
      <c r="Q30" s="56" t="s">
        <v>42</v>
      </c>
      <c r="R30" s="57" t="s">
        <v>42</v>
      </c>
      <c r="S30" s="57"/>
      <c r="T30" s="57"/>
      <c r="U30" s="57"/>
      <c r="V30" s="57"/>
      <c r="W30" s="57"/>
      <c r="X30" s="57"/>
      <c r="Y30" s="57"/>
      <c r="Z30" s="57"/>
      <c r="AA30" s="57"/>
      <c r="AB30" s="58"/>
      <c r="AC30" s="56" t="s">
        <v>42</v>
      </c>
      <c r="AD30" s="57" t="s">
        <v>42</v>
      </c>
      <c r="AE30" s="57"/>
      <c r="AF30" s="57"/>
      <c r="AG30" s="57"/>
      <c r="AH30" s="57"/>
      <c r="AI30" s="57"/>
      <c r="AJ30" s="57"/>
      <c r="AK30" s="57"/>
      <c r="AL30" s="57"/>
      <c r="AM30" s="57"/>
      <c r="AN30" s="58"/>
      <c r="AO30" s="59" t="s">
        <v>42</v>
      </c>
      <c r="AP30" s="60" t="s">
        <v>42</v>
      </c>
      <c r="AQ30" s="60"/>
      <c r="AR30" s="60"/>
      <c r="AS30" s="60"/>
      <c r="AT30" s="60"/>
      <c r="AU30" s="60"/>
      <c r="AV30" s="60"/>
      <c r="AW30" s="60"/>
      <c r="AX30" s="60"/>
      <c r="AY30" s="60"/>
      <c r="AZ30" s="61"/>
      <c r="BA30" s="60"/>
      <c r="BB30" s="60"/>
      <c r="BC30" s="60"/>
      <c r="BD30" s="60" t="s">
        <v>42</v>
      </c>
      <c r="BE30" s="60" t="s">
        <v>42</v>
      </c>
      <c r="BF30" s="60" t="s">
        <v>42</v>
      </c>
      <c r="BG30" s="60" t="s">
        <v>42</v>
      </c>
      <c r="BH30" s="60" t="s">
        <v>42</v>
      </c>
      <c r="BI30" s="60" t="s">
        <v>42</v>
      </c>
      <c r="BJ30" s="60" t="s">
        <v>42</v>
      </c>
      <c r="BK30" s="60" t="s">
        <v>42</v>
      </c>
      <c r="BL30" s="60" t="s">
        <v>42</v>
      </c>
      <c r="BM30" s="60" t="s">
        <v>42</v>
      </c>
      <c r="BN30" s="60" t="s">
        <v>42</v>
      </c>
      <c r="BO30" s="60" t="s">
        <v>42</v>
      </c>
      <c r="BP30" s="127" t="s">
        <v>148</v>
      </c>
      <c r="BQ30" s="60" t="s">
        <v>42</v>
      </c>
    </row>
    <row r="31" spans="1:69" s="55" customFormat="1" ht="96.75" customHeight="1" thickBot="1" x14ac:dyDescent="0.35">
      <c r="A31" s="239" t="s">
        <v>256</v>
      </c>
      <c r="B31" s="240" t="s">
        <v>257</v>
      </c>
      <c r="C31" s="241" t="s">
        <v>130</v>
      </c>
      <c r="D31" s="222" t="s">
        <v>258</v>
      </c>
      <c r="E31" s="242">
        <v>28849920</v>
      </c>
      <c r="F31" s="243"/>
      <c r="G31" s="243"/>
      <c r="H31" s="244">
        <f t="shared" si="2"/>
        <v>2404160</v>
      </c>
      <c r="I31" s="245">
        <v>45296</v>
      </c>
      <c r="J31" s="245">
        <v>45657</v>
      </c>
      <c r="K31" s="246" t="s">
        <v>212</v>
      </c>
      <c r="L31" s="245">
        <v>45293</v>
      </c>
      <c r="M31" s="246" t="s">
        <v>259</v>
      </c>
      <c r="N31" s="245">
        <v>45296</v>
      </c>
      <c r="O31" s="247">
        <f t="shared" si="3"/>
        <v>361</v>
      </c>
      <c r="P31" s="248"/>
      <c r="Q31" s="56" t="s">
        <v>42</v>
      </c>
      <c r="R31" s="57" t="s">
        <v>42</v>
      </c>
      <c r="S31" s="57"/>
      <c r="T31" s="57"/>
      <c r="U31" s="57"/>
      <c r="V31" s="57"/>
      <c r="W31" s="57"/>
      <c r="X31" s="57"/>
      <c r="Y31" s="57"/>
      <c r="Z31" s="57"/>
      <c r="AA31" s="57"/>
      <c r="AB31" s="58"/>
      <c r="AC31" s="56" t="s">
        <v>42</v>
      </c>
      <c r="AD31" s="57" t="s">
        <v>42</v>
      </c>
      <c r="AE31" s="57"/>
      <c r="AF31" s="57"/>
      <c r="AG31" s="57"/>
      <c r="AH31" s="57"/>
      <c r="AI31" s="57"/>
      <c r="AJ31" s="57"/>
      <c r="AK31" s="57"/>
      <c r="AL31" s="57"/>
      <c r="AM31" s="57"/>
      <c r="AN31" s="58"/>
      <c r="AO31" s="59" t="s">
        <v>42</v>
      </c>
      <c r="AP31" s="60" t="s">
        <v>42</v>
      </c>
      <c r="AQ31" s="60"/>
      <c r="AR31" s="60"/>
      <c r="AS31" s="60"/>
      <c r="AT31" s="60"/>
      <c r="AU31" s="60"/>
      <c r="AV31" s="60"/>
      <c r="AW31" s="60"/>
      <c r="AX31" s="60"/>
      <c r="AY31" s="60"/>
      <c r="AZ31" s="61"/>
      <c r="BA31" s="60"/>
      <c r="BB31" s="60"/>
      <c r="BC31" s="60"/>
      <c r="BD31" s="60" t="s">
        <v>42</v>
      </c>
      <c r="BE31" s="60" t="s">
        <v>42</v>
      </c>
      <c r="BF31" s="60" t="s">
        <v>42</v>
      </c>
      <c r="BG31" s="60" t="s">
        <v>42</v>
      </c>
      <c r="BH31" s="60" t="s">
        <v>42</v>
      </c>
      <c r="BI31" s="60" t="s">
        <v>42</v>
      </c>
      <c r="BJ31" s="60" t="s">
        <v>42</v>
      </c>
      <c r="BK31" s="60" t="s">
        <v>42</v>
      </c>
      <c r="BL31" s="60" t="s">
        <v>42</v>
      </c>
      <c r="BM31" s="60" t="s">
        <v>42</v>
      </c>
      <c r="BN31" s="60" t="s">
        <v>42</v>
      </c>
      <c r="BO31" s="60" t="s">
        <v>42</v>
      </c>
      <c r="BP31" s="127" t="s">
        <v>148</v>
      </c>
      <c r="BQ31" s="60" t="s">
        <v>42</v>
      </c>
    </row>
    <row r="32" spans="1:69" s="75" customFormat="1" ht="66.75" customHeight="1" thickBot="1" x14ac:dyDescent="0.3">
      <c r="A32" s="249" t="s">
        <v>278</v>
      </c>
      <c r="B32" s="250" t="s">
        <v>279</v>
      </c>
      <c r="C32" s="250" t="s">
        <v>280</v>
      </c>
      <c r="D32" s="251" t="s">
        <v>281</v>
      </c>
      <c r="E32" s="252">
        <v>216713217</v>
      </c>
      <c r="F32" s="253"/>
      <c r="G32" s="253"/>
      <c r="H32" s="254">
        <f>E32</f>
        <v>216713217</v>
      </c>
      <c r="I32" s="255">
        <v>45320</v>
      </c>
      <c r="J32" s="255">
        <v>45349</v>
      </c>
      <c r="K32" s="256" t="s">
        <v>270</v>
      </c>
      <c r="L32" s="255">
        <v>45307</v>
      </c>
      <c r="M32" s="256" t="s">
        <v>282</v>
      </c>
      <c r="N32" s="255">
        <v>45320</v>
      </c>
      <c r="O32" s="257">
        <f t="shared" si="3"/>
        <v>29</v>
      </c>
      <c r="P32" s="258"/>
      <c r="Q32" s="19" t="s">
        <v>42</v>
      </c>
      <c r="R32" s="283" t="s">
        <v>42</v>
      </c>
      <c r="S32" s="284"/>
      <c r="T32" s="285"/>
      <c r="U32" s="19"/>
      <c r="V32" s="19"/>
      <c r="W32" s="19"/>
      <c r="X32" s="19"/>
      <c r="Y32" s="19"/>
      <c r="Z32" s="19"/>
      <c r="AA32" s="19"/>
      <c r="AB32" s="19"/>
      <c r="AC32" s="76" t="s">
        <v>42</v>
      </c>
      <c r="AD32" s="77" t="s">
        <v>42</v>
      </c>
      <c r="AE32" s="152"/>
      <c r="AF32" s="152"/>
      <c r="AG32" s="152"/>
      <c r="AH32" s="152"/>
      <c r="AI32" s="152"/>
      <c r="AJ32" s="152"/>
      <c r="AK32" s="152"/>
      <c r="AL32" s="152"/>
      <c r="AM32" s="152"/>
      <c r="AN32" s="286"/>
      <c r="AO32" s="79" t="s">
        <v>42</v>
      </c>
      <c r="AP32" s="63" t="s">
        <v>42</v>
      </c>
      <c r="AQ32" s="287"/>
      <c r="AR32" s="143"/>
      <c r="AS32" s="143"/>
      <c r="AT32" s="143"/>
      <c r="AU32" s="143"/>
      <c r="AV32" s="143"/>
      <c r="AW32" s="143"/>
      <c r="AX32" s="143"/>
      <c r="AY32" s="143"/>
      <c r="AZ32" s="143"/>
      <c r="BA32" s="63"/>
      <c r="BB32" s="63"/>
      <c r="BC32" s="63"/>
      <c r="BD32" s="63" t="s">
        <v>42</v>
      </c>
      <c r="BE32" s="63" t="s">
        <v>42</v>
      </c>
      <c r="BF32" s="63" t="s">
        <v>42</v>
      </c>
      <c r="BG32" s="63" t="s">
        <v>42</v>
      </c>
      <c r="BH32" s="63" t="s">
        <v>42</v>
      </c>
      <c r="BI32" s="63" t="s">
        <v>42</v>
      </c>
      <c r="BJ32" s="63" t="s">
        <v>42</v>
      </c>
      <c r="BK32" s="63" t="s">
        <v>42</v>
      </c>
      <c r="BL32" s="63" t="s">
        <v>42</v>
      </c>
      <c r="BM32" s="63" t="s">
        <v>42</v>
      </c>
      <c r="BN32" s="63" t="s">
        <v>42</v>
      </c>
      <c r="BO32" s="63" t="s">
        <v>42</v>
      </c>
      <c r="BP32" s="127" t="s">
        <v>148</v>
      </c>
      <c r="BQ32" s="60" t="s">
        <v>42</v>
      </c>
    </row>
    <row r="33" spans="1:82" s="55" customFormat="1" ht="85.5" customHeight="1" thickBot="1" x14ac:dyDescent="0.35">
      <c r="A33" s="259" t="s">
        <v>283</v>
      </c>
      <c r="B33" s="260" t="s">
        <v>124</v>
      </c>
      <c r="C33" s="261" t="s">
        <v>125</v>
      </c>
      <c r="D33" s="262" t="s">
        <v>284</v>
      </c>
      <c r="E33" s="263">
        <v>20900000</v>
      </c>
      <c r="F33" s="44"/>
      <c r="G33" s="264"/>
      <c r="H33" s="265">
        <f>E33/11</f>
        <v>1900000</v>
      </c>
      <c r="I33" s="41">
        <v>45323</v>
      </c>
      <c r="J33" s="41">
        <v>45657</v>
      </c>
      <c r="K33" s="266" t="s">
        <v>299</v>
      </c>
      <c r="L33" s="41">
        <v>45315</v>
      </c>
      <c r="M33" s="266" t="s">
        <v>300</v>
      </c>
      <c r="N33" s="41">
        <v>45323</v>
      </c>
      <c r="O33" s="267">
        <f t="shared" si="3"/>
        <v>334</v>
      </c>
      <c r="P33" s="268"/>
      <c r="Q33" s="19"/>
      <c r="R33" s="57" t="s">
        <v>42</v>
      </c>
      <c r="S33" s="57"/>
      <c r="T33" s="57"/>
      <c r="U33" s="57"/>
      <c r="V33" s="56"/>
      <c r="W33" s="56"/>
      <c r="X33" s="56"/>
      <c r="Y33" s="56"/>
      <c r="Z33" s="56"/>
      <c r="AA33" s="56"/>
      <c r="AB33" s="56"/>
      <c r="AC33" s="19"/>
      <c r="AD33" s="57" t="s">
        <v>42</v>
      </c>
      <c r="AE33" s="57"/>
      <c r="AF33" s="57"/>
      <c r="AG33" s="57"/>
      <c r="AH33" s="57"/>
      <c r="AI33" s="57"/>
      <c r="AJ33" s="57"/>
      <c r="AK33" s="57"/>
      <c r="AL33" s="57"/>
      <c r="AM33" s="57"/>
      <c r="AN33" s="58"/>
      <c r="AO33" s="124"/>
      <c r="AP33" s="60" t="s">
        <v>42</v>
      </c>
      <c r="AQ33" s="60"/>
      <c r="AR33" s="60"/>
      <c r="AS33" s="60"/>
      <c r="AT33" s="60"/>
      <c r="AU33" s="60"/>
      <c r="AV33" s="60"/>
      <c r="AW33" s="60"/>
      <c r="AX33" s="60"/>
      <c r="AY33" s="60"/>
      <c r="AZ33" s="61"/>
      <c r="BA33" s="60"/>
      <c r="BB33" s="60"/>
      <c r="BC33" s="60"/>
      <c r="BD33" s="71" t="s">
        <v>42</v>
      </c>
      <c r="BE33" s="71" t="s">
        <v>42</v>
      </c>
      <c r="BF33" s="71" t="s">
        <v>42</v>
      </c>
      <c r="BG33" s="71" t="s">
        <v>42</v>
      </c>
      <c r="BH33" s="71" t="s">
        <v>42</v>
      </c>
      <c r="BI33" s="71" t="s">
        <v>42</v>
      </c>
      <c r="BJ33" s="71" t="s">
        <v>42</v>
      </c>
      <c r="BK33" s="71" t="s">
        <v>42</v>
      </c>
      <c r="BL33" s="71" t="s">
        <v>42</v>
      </c>
      <c r="BM33" s="71" t="s">
        <v>42</v>
      </c>
      <c r="BN33" s="71" t="s">
        <v>42</v>
      </c>
      <c r="BO33" s="71" t="s">
        <v>42</v>
      </c>
      <c r="BP33" s="127" t="s">
        <v>148</v>
      </c>
      <c r="BQ33" s="81" t="s">
        <v>42</v>
      </c>
    </row>
    <row r="34" spans="1:82" s="55" customFormat="1" ht="48.75" customHeight="1" thickBot="1" x14ac:dyDescent="0.35">
      <c r="A34" s="259" t="s">
        <v>285</v>
      </c>
      <c r="B34" s="269" t="s">
        <v>286</v>
      </c>
      <c r="C34" s="270">
        <v>1090487776</v>
      </c>
      <c r="D34" s="262" t="s">
        <v>287</v>
      </c>
      <c r="E34" s="47">
        <v>34100000</v>
      </c>
      <c r="F34" s="44"/>
      <c r="G34" s="44"/>
      <c r="H34" s="43">
        <f>E34/11</f>
        <v>3100000</v>
      </c>
      <c r="I34" s="41">
        <v>45323</v>
      </c>
      <c r="J34" s="41">
        <v>45657</v>
      </c>
      <c r="K34" s="266" t="s">
        <v>304</v>
      </c>
      <c r="L34" s="41">
        <v>45315</v>
      </c>
      <c r="M34" s="266" t="s">
        <v>305</v>
      </c>
      <c r="N34" s="41">
        <v>45323</v>
      </c>
      <c r="O34" s="267">
        <f t="shared" si="3"/>
        <v>334</v>
      </c>
      <c r="P34" s="268"/>
      <c r="Q34" s="19"/>
      <c r="R34" s="57" t="s">
        <v>42</v>
      </c>
      <c r="S34" s="57"/>
      <c r="T34" s="57"/>
      <c r="U34" s="57"/>
      <c r="V34" s="57"/>
      <c r="W34" s="57"/>
      <c r="X34" s="125"/>
      <c r="Y34" s="57"/>
      <c r="Z34" s="57"/>
      <c r="AA34" s="57"/>
      <c r="AB34" s="58"/>
      <c r="AC34" s="19"/>
      <c r="AD34" s="125" t="s">
        <v>42</v>
      </c>
      <c r="AE34" s="57"/>
      <c r="AF34" s="57"/>
      <c r="AG34" s="57"/>
      <c r="AH34" s="57"/>
      <c r="AI34" s="57"/>
      <c r="AJ34" s="125"/>
      <c r="AK34" s="57"/>
      <c r="AL34" s="57"/>
      <c r="AM34" s="57"/>
      <c r="AN34" s="58"/>
      <c r="AO34" s="124"/>
      <c r="AP34" s="126" t="s">
        <v>42</v>
      </c>
      <c r="AQ34" s="60"/>
      <c r="AR34" s="60"/>
      <c r="AS34" s="60"/>
      <c r="AT34" s="60"/>
      <c r="AU34" s="60"/>
      <c r="AV34" s="126"/>
      <c r="AW34" s="60"/>
      <c r="AX34" s="60"/>
      <c r="AY34" s="60"/>
      <c r="AZ34" s="61"/>
      <c r="BA34" s="60"/>
      <c r="BB34" s="60"/>
      <c r="BC34" s="60"/>
      <c r="BD34" s="71" t="s">
        <v>42</v>
      </c>
      <c r="BE34" s="71" t="s">
        <v>42</v>
      </c>
      <c r="BF34" s="83" t="s">
        <v>42</v>
      </c>
      <c r="BG34" s="71" t="s">
        <v>42</v>
      </c>
      <c r="BH34" s="71" t="s">
        <v>42</v>
      </c>
      <c r="BI34" s="71" t="s">
        <v>42</v>
      </c>
      <c r="BJ34" s="71" t="s">
        <v>42</v>
      </c>
      <c r="BK34" s="71" t="s">
        <v>42</v>
      </c>
      <c r="BL34" s="83" t="s">
        <v>42</v>
      </c>
      <c r="BM34" s="88" t="s">
        <v>148</v>
      </c>
      <c r="BN34" s="71" t="s">
        <v>42</v>
      </c>
      <c r="BO34" s="71" t="s">
        <v>42</v>
      </c>
      <c r="BP34" s="71" t="s">
        <v>42</v>
      </c>
      <c r="BQ34" s="71" t="s">
        <v>42</v>
      </c>
      <c r="BR34" s="84"/>
      <c r="BX34" s="84"/>
      <c r="CD34" s="84"/>
    </row>
    <row r="35" spans="1:82" s="89" customFormat="1" ht="74.25" customHeight="1" thickBot="1" x14ac:dyDescent="0.3">
      <c r="A35" s="259" t="s">
        <v>288</v>
      </c>
      <c r="B35" s="271" t="s">
        <v>289</v>
      </c>
      <c r="C35" s="272">
        <v>1091668921</v>
      </c>
      <c r="D35" s="273" t="s">
        <v>290</v>
      </c>
      <c r="E35" s="47">
        <v>6000000</v>
      </c>
      <c r="F35" s="44"/>
      <c r="G35" s="44"/>
      <c r="H35" s="43">
        <f>E35/6</f>
        <v>1000000</v>
      </c>
      <c r="I35" s="41">
        <v>45323</v>
      </c>
      <c r="J35" s="41">
        <v>45504</v>
      </c>
      <c r="K35" s="266" t="s">
        <v>306</v>
      </c>
      <c r="L35" s="41">
        <v>45315</v>
      </c>
      <c r="M35" s="266" t="s">
        <v>307</v>
      </c>
      <c r="N35" s="41">
        <v>45323</v>
      </c>
      <c r="O35" s="267">
        <f t="shared" si="3"/>
        <v>181</v>
      </c>
      <c r="P35" s="268"/>
      <c r="Q35" s="19"/>
      <c r="R35" s="56" t="s">
        <v>42</v>
      </c>
      <c r="S35" s="57" t="s">
        <v>42</v>
      </c>
      <c r="T35" s="57"/>
      <c r="U35" s="57"/>
      <c r="V35" s="57"/>
      <c r="W35" s="57"/>
      <c r="X35" s="18"/>
      <c r="Y35" s="18"/>
      <c r="Z35" s="18"/>
      <c r="AA35" s="18"/>
      <c r="AB35" s="121"/>
      <c r="AC35" s="19"/>
      <c r="AD35" s="57" t="s">
        <v>42</v>
      </c>
      <c r="AE35" s="57" t="s">
        <v>42</v>
      </c>
      <c r="AF35" s="57"/>
      <c r="AG35" s="57"/>
      <c r="AH35" s="57"/>
      <c r="AI35" s="57"/>
      <c r="AJ35" s="18"/>
      <c r="AK35" s="18"/>
      <c r="AL35" s="18"/>
      <c r="AM35" s="18"/>
      <c r="AN35" s="121"/>
      <c r="AO35" s="124"/>
      <c r="AP35" s="60" t="s">
        <v>42</v>
      </c>
      <c r="AQ35" s="60" t="s">
        <v>42</v>
      </c>
      <c r="AR35" s="60"/>
      <c r="AS35" s="60"/>
      <c r="AT35" s="60"/>
      <c r="AU35" s="60"/>
      <c r="AV35" s="122"/>
      <c r="AW35" s="122"/>
      <c r="AX35" s="122"/>
      <c r="AY35" s="122"/>
      <c r="AZ35" s="123"/>
      <c r="BA35" s="60"/>
      <c r="BB35" s="60"/>
      <c r="BC35" s="60"/>
      <c r="BD35" s="88" t="s">
        <v>42</v>
      </c>
      <c r="BE35" s="88" t="s">
        <v>42</v>
      </c>
      <c r="BF35" s="88" t="s">
        <v>42</v>
      </c>
      <c r="BG35" s="88" t="s">
        <v>42</v>
      </c>
      <c r="BH35" s="88" t="s">
        <v>42</v>
      </c>
      <c r="BI35" s="88" t="s">
        <v>42</v>
      </c>
      <c r="BJ35" s="88" t="s">
        <v>42</v>
      </c>
      <c r="BK35" s="88" t="s">
        <v>42</v>
      </c>
      <c r="BL35" s="88" t="s">
        <v>42</v>
      </c>
      <c r="BM35" s="88" t="s">
        <v>148</v>
      </c>
      <c r="BN35" s="88" t="s">
        <v>42</v>
      </c>
      <c r="BO35" s="88" t="s">
        <v>42</v>
      </c>
      <c r="BP35" s="88" t="s">
        <v>148</v>
      </c>
      <c r="BQ35" s="88" t="s">
        <v>42</v>
      </c>
    </row>
    <row r="36" spans="1:82" s="89" customFormat="1" ht="80.25" customHeight="1" thickBot="1" x14ac:dyDescent="0.35">
      <c r="A36" s="259" t="s">
        <v>291</v>
      </c>
      <c r="B36" s="274" t="s">
        <v>292</v>
      </c>
      <c r="C36" s="275">
        <v>91157893</v>
      </c>
      <c r="D36" s="262" t="s">
        <v>293</v>
      </c>
      <c r="E36" s="47">
        <v>42262000</v>
      </c>
      <c r="F36" s="44"/>
      <c r="G36" s="44"/>
      <c r="H36" s="43">
        <f>E36/11</f>
        <v>3842000</v>
      </c>
      <c r="I36" s="41">
        <v>45323</v>
      </c>
      <c r="J36" s="41">
        <v>45657</v>
      </c>
      <c r="K36" s="266" t="s">
        <v>282</v>
      </c>
      <c r="L36" s="41">
        <v>45315</v>
      </c>
      <c r="M36" s="266" t="s">
        <v>308</v>
      </c>
      <c r="N36" s="41">
        <v>45323</v>
      </c>
      <c r="O36" s="267">
        <f t="shared" si="3"/>
        <v>334</v>
      </c>
      <c r="P36" s="268"/>
      <c r="Q36" s="19"/>
      <c r="R36" s="19" t="s">
        <v>42</v>
      </c>
      <c r="S36" s="56"/>
      <c r="T36" s="57"/>
      <c r="U36" s="57"/>
      <c r="V36" s="57"/>
      <c r="W36" s="57"/>
      <c r="X36" s="57"/>
      <c r="Y36" s="57"/>
      <c r="Z36" s="57"/>
      <c r="AA36" s="57"/>
      <c r="AB36" s="58"/>
      <c r="AC36" s="19"/>
      <c r="AD36" s="18" t="s">
        <v>42</v>
      </c>
      <c r="AE36" s="57"/>
      <c r="AF36" s="57"/>
      <c r="AG36" s="57"/>
      <c r="AH36" s="57"/>
      <c r="AI36" s="57"/>
      <c r="AJ36" s="57"/>
      <c r="AK36" s="57"/>
      <c r="AL36" s="57"/>
      <c r="AM36" s="57"/>
      <c r="AN36" s="58"/>
      <c r="AO36" s="124"/>
      <c r="AP36" s="122" t="s">
        <v>42</v>
      </c>
      <c r="AQ36" s="60"/>
      <c r="AR36" s="60"/>
      <c r="AS36" s="60"/>
      <c r="AT36" s="60"/>
      <c r="AU36" s="60"/>
      <c r="AV36" s="60"/>
      <c r="AW36" s="60"/>
      <c r="AX36" s="60"/>
      <c r="AY36" s="60"/>
      <c r="AZ36" s="61"/>
      <c r="BA36" s="60"/>
      <c r="BB36" s="60"/>
      <c r="BC36" s="60"/>
      <c r="BD36" s="88" t="s">
        <v>42</v>
      </c>
      <c r="BE36" s="88" t="s">
        <v>42</v>
      </c>
      <c r="BF36" s="88" t="s">
        <v>42</v>
      </c>
      <c r="BG36" s="88" t="s">
        <v>42</v>
      </c>
      <c r="BH36" s="88" t="s">
        <v>42</v>
      </c>
      <c r="BI36" s="88" t="s">
        <v>42</v>
      </c>
      <c r="BJ36" s="88" t="s">
        <v>42</v>
      </c>
      <c r="BK36" s="88" t="s">
        <v>42</v>
      </c>
      <c r="BL36" s="88" t="s">
        <v>42</v>
      </c>
      <c r="BM36" s="88" t="s">
        <v>148</v>
      </c>
      <c r="BN36" s="88" t="s">
        <v>42</v>
      </c>
      <c r="BO36" s="88" t="s">
        <v>42</v>
      </c>
      <c r="BP36" s="88" t="s">
        <v>42</v>
      </c>
      <c r="BQ36" s="88" t="s">
        <v>42</v>
      </c>
    </row>
    <row r="37" spans="1:82" ht="57" customHeight="1" thickBot="1" x14ac:dyDescent="0.3">
      <c r="A37" s="276" t="s">
        <v>294</v>
      </c>
      <c r="B37" s="277" t="s">
        <v>295</v>
      </c>
      <c r="C37" s="272">
        <v>1005210936</v>
      </c>
      <c r="D37" s="278" t="s">
        <v>68</v>
      </c>
      <c r="E37" s="281">
        <v>1800000</v>
      </c>
      <c r="F37" s="44"/>
      <c r="G37" s="44"/>
      <c r="H37" s="47">
        <f>E37</f>
        <v>1800000</v>
      </c>
      <c r="I37" s="41">
        <v>45323</v>
      </c>
      <c r="J37" s="41">
        <v>45351</v>
      </c>
      <c r="K37" s="266" t="s">
        <v>301</v>
      </c>
      <c r="L37" s="41">
        <v>45315</v>
      </c>
      <c r="M37" s="280" t="s">
        <v>302</v>
      </c>
      <c r="N37" s="41">
        <v>45323</v>
      </c>
      <c r="O37" s="267">
        <f t="shared" si="3"/>
        <v>28</v>
      </c>
      <c r="P37" s="268"/>
      <c r="Q37" s="19"/>
      <c r="R37" s="18" t="s">
        <v>42</v>
      </c>
      <c r="S37" s="18"/>
      <c r="T37" s="18"/>
      <c r="U37" s="18"/>
      <c r="V37" s="18"/>
      <c r="W37" s="18"/>
      <c r="X37" s="18"/>
      <c r="Y37" s="18"/>
      <c r="Z37" s="18"/>
      <c r="AA37" s="18"/>
      <c r="AB37" s="121"/>
      <c r="AC37" s="19"/>
      <c r="AD37" s="18" t="s">
        <v>42</v>
      </c>
      <c r="AE37" s="18"/>
      <c r="AF37" s="18"/>
      <c r="AG37" s="18"/>
      <c r="AH37" s="18"/>
      <c r="AI37" s="18"/>
      <c r="AJ37" s="18"/>
      <c r="AK37" s="18"/>
      <c r="AL37" s="18"/>
      <c r="AM37" s="18"/>
      <c r="AN37" s="121"/>
      <c r="AO37" s="124"/>
      <c r="AP37" s="122" t="s">
        <v>42</v>
      </c>
      <c r="AQ37" s="122"/>
      <c r="AR37" s="122"/>
      <c r="AS37" s="122"/>
      <c r="AT37" s="122"/>
      <c r="AU37" s="122"/>
      <c r="AV37" s="122"/>
      <c r="AW37" s="122"/>
      <c r="AX37" s="122"/>
      <c r="AY37" s="122"/>
      <c r="AZ37" s="123"/>
      <c r="BA37" s="5"/>
      <c r="BB37" s="5"/>
      <c r="BC37" s="5"/>
      <c r="BD37" s="5" t="s">
        <v>42</v>
      </c>
      <c r="BE37" s="5" t="s">
        <v>42</v>
      </c>
      <c r="BF37" s="5" t="s">
        <v>42</v>
      </c>
      <c r="BG37" s="5" t="s">
        <v>42</v>
      </c>
      <c r="BH37" s="5" t="s">
        <v>42</v>
      </c>
      <c r="BI37" s="5" t="s">
        <v>42</v>
      </c>
      <c r="BJ37" s="5" t="s">
        <v>42</v>
      </c>
      <c r="BK37" s="5" t="s">
        <v>42</v>
      </c>
      <c r="BL37" s="5" t="s">
        <v>42</v>
      </c>
      <c r="BM37" s="127" t="s">
        <v>148</v>
      </c>
      <c r="BN37" s="5" t="s">
        <v>42</v>
      </c>
      <c r="BO37" s="5" t="s">
        <v>42</v>
      </c>
      <c r="BP37" s="127" t="s">
        <v>42</v>
      </c>
      <c r="BQ37" s="5" t="s">
        <v>42</v>
      </c>
    </row>
    <row r="38" spans="1:82" ht="66" customHeight="1" thickBot="1" x14ac:dyDescent="0.3">
      <c r="A38" s="276" t="s">
        <v>296</v>
      </c>
      <c r="B38" s="277" t="s">
        <v>297</v>
      </c>
      <c r="C38" s="272">
        <v>1005384503</v>
      </c>
      <c r="D38" s="273" t="s">
        <v>298</v>
      </c>
      <c r="E38" s="279">
        <v>17234360</v>
      </c>
      <c r="F38" s="44"/>
      <c r="G38" s="44"/>
      <c r="H38" s="47">
        <f>E38/11</f>
        <v>1566760</v>
      </c>
      <c r="I38" s="41">
        <v>45331</v>
      </c>
      <c r="J38" s="41">
        <v>45657</v>
      </c>
      <c r="K38" s="266" t="s">
        <v>303</v>
      </c>
      <c r="L38" s="41">
        <v>45322</v>
      </c>
      <c r="M38" s="266" t="s">
        <v>309</v>
      </c>
      <c r="N38" s="41">
        <v>45331</v>
      </c>
      <c r="O38" s="267">
        <f t="shared" ref="O38:O48" si="4">J38-I38</f>
        <v>326</v>
      </c>
      <c r="P38" s="268"/>
      <c r="Q38" s="19"/>
      <c r="R38" s="18" t="s">
        <v>42</v>
      </c>
      <c r="S38" s="57"/>
      <c r="T38" s="16"/>
      <c r="U38" s="16"/>
      <c r="V38" s="16"/>
      <c r="W38" s="16"/>
      <c r="X38" s="16"/>
      <c r="Y38" s="16"/>
      <c r="Z38" s="16"/>
      <c r="AA38" s="16"/>
      <c r="AB38" s="17"/>
      <c r="AC38" s="19"/>
      <c r="AD38" s="18" t="s">
        <v>42</v>
      </c>
      <c r="AE38" s="57"/>
      <c r="AF38" s="16"/>
      <c r="AG38" s="16"/>
      <c r="AH38" s="16"/>
      <c r="AI38" s="16"/>
      <c r="AJ38" s="16"/>
      <c r="AK38" s="16"/>
      <c r="AL38" s="16"/>
      <c r="AM38" s="16"/>
      <c r="AN38" s="17"/>
      <c r="AO38" s="124"/>
      <c r="AP38" s="122" t="s">
        <v>42</v>
      </c>
      <c r="AQ38" s="60"/>
      <c r="AR38" s="5"/>
      <c r="AS38" s="5"/>
      <c r="AT38" s="5"/>
      <c r="AU38" s="5"/>
      <c r="AV38" s="5"/>
      <c r="AW38" s="5"/>
      <c r="AX38" s="5"/>
      <c r="AY38" s="5"/>
      <c r="AZ38" s="6"/>
      <c r="BA38" s="5"/>
      <c r="BB38" s="5"/>
      <c r="BC38" s="5"/>
      <c r="BD38" s="5" t="s">
        <v>42</v>
      </c>
      <c r="BE38" s="5" t="s">
        <v>42</v>
      </c>
      <c r="BF38" s="5" t="s">
        <v>42</v>
      </c>
      <c r="BG38" s="5" t="s">
        <v>42</v>
      </c>
      <c r="BH38" s="5" t="s">
        <v>42</v>
      </c>
      <c r="BI38" s="5" t="s">
        <v>42</v>
      </c>
      <c r="BJ38" s="5" t="s">
        <v>42</v>
      </c>
      <c r="BK38" s="5" t="s">
        <v>42</v>
      </c>
      <c r="BL38" s="5" t="s">
        <v>42</v>
      </c>
      <c r="BM38" s="127" t="s">
        <v>148</v>
      </c>
      <c r="BN38" s="5" t="s">
        <v>42</v>
      </c>
      <c r="BO38" s="5" t="s">
        <v>42</v>
      </c>
      <c r="BP38" s="127" t="s">
        <v>148</v>
      </c>
      <c r="BQ38" s="5" t="s">
        <v>42</v>
      </c>
    </row>
    <row r="39" spans="1:82" ht="81" customHeight="1" thickBot="1" x14ac:dyDescent="0.3">
      <c r="A39" s="300" t="s">
        <v>310</v>
      </c>
      <c r="B39" s="301" t="s">
        <v>27</v>
      </c>
      <c r="C39" s="302">
        <v>63493347</v>
      </c>
      <c r="D39" s="333" t="s">
        <v>12</v>
      </c>
      <c r="E39" s="303">
        <v>3800000</v>
      </c>
      <c r="F39" s="304"/>
      <c r="G39" s="305"/>
      <c r="H39" s="306">
        <f>E39/2</f>
        <v>1900000</v>
      </c>
      <c r="I39" s="307">
        <v>45356</v>
      </c>
      <c r="J39" s="308">
        <v>45412</v>
      </c>
      <c r="K39" s="309" t="s">
        <v>324</v>
      </c>
      <c r="L39" s="308">
        <v>45349</v>
      </c>
      <c r="M39" s="309" t="s">
        <v>325</v>
      </c>
      <c r="N39" s="308">
        <v>45356</v>
      </c>
      <c r="O39" s="310">
        <f>J39-I39</f>
        <v>56</v>
      </c>
      <c r="P39" s="311"/>
      <c r="Q39" s="56"/>
      <c r="R39" s="56"/>
      <c r="S39" s="57"/>
      <c r="T39" s="57"/>
      <c r="U39" s="57"/>
      <c r="V39" s="57"/>
      <c r="W39" s="57"/>
      <c r="X39" s="57"/>
      <c r="Y39" s="57"/>
      <c r="Z39" s="57"/>
      <c r="AA39" s="57"/>
      <c r="AB39" s="58"/>
      <c r="AC39" s="56"/>
      <c r="AD39" s="57"/>
      <c r="AE39" s="57"/>
      <c r="AF39" s="57"/>
      <c r="AG39" s="57"/>
      <c r="AH39" s="57"/>
      <c r="AI39" s="57"/>
      <c r="AJ39" s="57"/>
      <c r="AK39" s="57"/>
      <c r="AL39" s="57"/>
      <c r="AM39" s="57"/>
      <c r="AN39" s="58"/>
      <c r="AO39" s="59"/>
      <c r="AP39" s="60"/>
      <c r="AQ39" s="60"/>
      <c r="AR39" s="60"/>
      <c r="AS39" s="60"/>
      <c r="AT39" s="60"/>
      <c r="AU39" s="60"/>
      <c r="AV39" s="60"/>
      <c r="AW39" s="60"/>
      <c r="AX39" s="60"/>
      <c r="AY39" s="60"/>
      <c r="AZ39" s="61"/>
      <c r="BA39" s="60"/>
      <c r="BB39" s="60"/>
      <c r="BC39" s="60"/>
      <c r="BD39" s="60"/>
      <c r="BE39" s="60"/>
      <c r="BF39" s="60"/>
      <c r="BG39" s="60"/>
      <c r="BH39" s="60"/>
      <c r="BI39" s="60"/>
      <c r="BJ39" s="60"/>
      <c r="BK39" s="60"/>
      <c r="BL39" s="60"/>
      <c r="BM39" s="60"/>
      <c r="BN39" s="60"/>
      <c r="BO39" s="60"/>
      <c r="BP39" s="60"/>
      <c r="BQ39" s="60"/>
    </row>
    <row r="40" spans="1:82" ht="103.5" customHeight="1" thickBot="1" x14ac:dyDescent="0.3">
      <c r="A40" s="312" t="s">
        <v>311</v>
      </c>
      <c r="B40" s="313" t="s">
        <v>295</v>
      </c>
      <c r="C40" s="314">
        <v>1005210936</v>
      </c>
      <c r="D40" s="333" t="s">
        <v>68</v>
      </c>
      <c r="E40" s="303">
        <v>3600000</v>
      </c>
      <c r="F40" s="315"/>
      <c r="G40" s="316"/>
      <c r="H40" s="317">
        <f>E40/2</f>
        <v>1800000</v>
      </c>
      <c r="I40" s="307">
        <v>45356</v>
      </c>
      <c r="J40" s="307">
        <v>45412</v>
      </c>
      <c r="K40" s="318" t="s">
        <v>326</v>
      </c>
      <c r="L40" s="307">
        <v>45349</v>
      </c>
      <c r="M40" s="318" t="s">
        <v>327</v>
      </c>
      <c r="N40" s="307">
        <v>45356</v>
      </c>
      <c r="O40" s="319">
        <f t="shared" si="4"/>
        <v>56</v>
      </c>
      <c r="P40" s="320"/>
      <c r="Q40" s="288"/>
      <c r="R40" s="288"/>
      <c r="S40" s="288"/>
      <c r="T40" s="289"/>
      <c r="U40" s="289"/>
      <c r="V40" s="289"/>
      <c r="W40" s="289"/>
      <c r="X40" s="289"/>
      <c r="Y40" s="289"/>
      <c r="Z40" s="289"/>
      <c r="AA40" s="289"/>
      <c r="AB40" s="290"/>
      <c r="AC40" s="288"/>
      <c r="AD40" s="289"/>
      <c r="AE40" s="289"/>
      <c r="AF40" s="289"/>
      <c r="AG40" s="289"/>
      <c r="AH40" s="289"/>
      <c r="AI40" s="289"/>
      <c r="AJ40" s="289"/>
      <c r="AK40" s="289"/>
      <c r="AL40" s="289"/>
      <c r="AM40" s="289"/>
      <c r="AN40" s="290"/>
      <c r="AO40" s="291"/>
      <c r="AP40" s="292"/>
      <c r="AQ40" s="292"/>
      <c r="AR40" s="292"/>
      <c r="AS40" s="292" t="s">
        <v>42</v>
      </c>
      <c r="AT40" s="292" t="s">
        <v>42</v>
      </c>
      <c r="AU40" s="292" t="s">
        <v>42</v>
      </c>
      <c r="AV40" s="292" t="s">
        <v>42</v>
      </c>
      <c r="AW40" s="292" t="s">
        <v>42</v>
      </c>
      <c r="AX40" s="292" t="s">
        <v>43</v>
      </c>
      <c r="AY40" s="292"/>
      <c r="AZ40" s="293"/>
      <c r="BA40" s="292"/>
      <c r="BB40" s="292"/>
      <c r="BC40" s="292"/>
      <c r="BD40" s="292"/>
      <c r="BE40" s="292"/>
      <c r="BF40" s="292"/>
      <c r="BG40" s="292"/>
      <c r="BH40" s="292"/>
      <c r="BI40" s="292"/>
      <c r="BJ40" s="292"/>
      <c r="BK40" s="292"/>
      <c r="BL40" s="292"/>
      <c r="BM40" s="292"/>
      <c r="BN40" s="292"/>
      <c r="BO40" s="292"/>
      <c r="BP40" s="292"/>
      <c r="BQ40" s="292"/>
    </row>
    <row r="41" spans="1:82" s="106" customFormat="1" ht="119.25" customHeight="1" thickBot="1" x14ac:dyDescent="0.3">
      <c r="A41" s="312" t="s">
        <v>312</v>
      </c>
      <c r="B41" s="321" t="s">
        <v>313</v>
      </c>
      <c r="C41" s="322">
        <v>1082924257</v>
      </c>
      <c r="D41" s="333" t="s">
        <v>314</v>
      </c>
      <c r="E41" s="303">
        <v>6250000</v>
      </c>
      <c r="F41" s="304"/>
      <c r="G41" s="304"/>
      <c r="H41" s="323">
        <f>E41</f>
        <v>6250000</v>
      </c>
      <c r="I41" s="308">
        <v>45359</v>
      </c>
      <c r="J41" s="308">
        <v>45373</v>
      </c>
      <c r="K41" s="309" t="s">
        <v>328</v>
      </c>
      <c r="L41" s="308">
        <v>45349</v>
      </c>
      <c r="M41" s="309" t="s">
        <v>329</v>
      </c>
      <c r="N41" s="308">
        <v>45356</v>
      </c>
      <c r="O41" s="310">
        <f t="shared" si="4"/>
        <v>14</v>
      </c>
      <c r="P41" s="311"/>
      <c r="Q41" s="26"/>
      <c r="R41" s="26"/>
      <c r="S41" s="26"/>
      <c r="T41" s="26"/>
      <c r="U41" s="26" t="s">
        <v>42</v>
      </c>
      <c r="V41" s="26" t="s">
        <v>42</v>
      </c>
      <c r="W41" s="26" t="s">
        <v>42</v>
      </c>
      <c r="X41" s="26" t="s">
        <v>42</v>
      </c>
      <c r="Y41" s="26"/>
      <c r="Z41" s="26"/>
      <c r="AA41" s="26"/>
      <c r="AB41" s="26"/>
      <c r="AC41" s="26"/>
      <c r="AD41" s="26"/>
      <c r="AE41" s="26"/>
      <c r="AF41" s="26"/>
      <c r="AG41" s="26" t="s">
        <v>42</v>
      </c>
      <c r="AH41" s="26" t="s">
        <v>42</v>
      </c>
      <c r="AI41" s="26" t="s">
        <v>42</v>
      </c>
      <c r="AJ41" s="26" t="s">
        <v>42</v>
      </c>
      <c r="AK41" s="26"/>
      <c r="AL41" s="26"/>
      <c r="AM41" s="26"/>
      <c r="AN41" s="26"/>
      <c r="AO41" s="294"/>
      <c r="AP41" s="294"/>
      <c r="AQ41" s="294"/>
      <c r="AR41" s="294"/>
      <c r="AS41" s="294" t="s">
        <v>42</v>
      </c>
      <c r="AT41" s="294" t="s">
        <v>42</v>
      </c>
      <c r="AU41" s="294" t="s">
        <v>42</v>
      </c>
      <c r="AV41" s="294" t="s">
        <v>42</v>
      </c>
      <c r="AW41" s="294"/>
      <c r="AX41" s="294"/>
      <c r="AY41" s="294"/>
      <c r="AZ41" s="294"/>
      <c r="BA41" s="294"/>
      <c r="BB41" s="294"/>
      <c r="BC41" s="294"/>
      <c r="BD41" s="294" t="s">
        <v>42</v>
      </c>
      <c r="BE41" s="294" t="s">
        <v>42</v>
      </c>
      <c r="BF41" s="294" t="s">
        <v>42</v>
      </c>
      <c r="BG41" s="294" t="s">
        <v>42</v>
      </c>
      <c r="BH41" s="294" t="s">
        <v>42</v>
      </c>
      <c r="BI41" s="294" t="s">
        <v>42</v>
      </c>
      <c r="BJ41" s="294" t="s">
        <v>42</v>
      </c>
      <c r="BK41" s="294" t="s">
        <v>42</v>
      </c>
      <c r="BL41" s="294" t="s">
        <v>42</v>
      </c>
      <c r="BM41" s="294" t="s">
        <v>148</v>
      </c>
      <c r="BN41" s="294" t="s">
        <v>42</v>
      </c>
      <c r="BO41" s="294" t="s">
        <v>42</v>
      </c>
      <c r="BP41" s="294" t="s">
        <v>148</v>
      </c>
      <c r="BQ41" s="294" t="s">
        <v>42</v>
      </c>
    </row>
    <row r="42" spans="1:82" s="106" customFormat="1" ht="129.75" customHeight="1" thickBot="1" x14ac:dyDescent="0.3">
      <c r="A42" s="300" t="s">
        <v>315</v>
      </c>
      <c r="B42" s="321" t="s">
        <v>150</v>
      </c>
      <c r="C42" s="321" t="s">
        <v>316</v>
      </c>
      <c r="D42" s="333" t="s">
        <v>317</v>
      </c>
      <c r="E42" s="324">
        <v>52800000</v>
      </c>
      <c r="F42" s="304"/>
      <c r="G42" s="304"/>
      <c r="H42" s="323">
        <f>E42/10</f>
        <v>5280000</v>
      </c>
      <c r="I42" s="308">
        <v>45365</v>
      </c>
      <c r="J42" s="308">
        <v>45657</v>
      </c>
      <c r="K42" s="309" t="s">
        <v>330</v>
      </c>
      <c r="L42" s="308">
        <v>45352</v>
      </c>
      <c r="M42" s="309" t="s">
        <v>331</v>
      </c>
      <c r="N42" s="308">
        <v>45365</v>
      </c>
      <c r="O42" s="310">
        <f t="shared" si="4"/>
        <v>292</v>
      </c>
      <c r="P42" s="311"/>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94"/>
      <c r="AP42" s="294"/>
      <c r="AQ42" s="294"/>
      <c r="AR42" s="294"/>
      <c r="AS42" s="294"/>
      <c r="AT42" s="294"/>
      <c r="AU42" s="294"/>
      <c r="AV42" s="294"/>
      <c r="AW42" s="294"/>
      <c r="AX42" s="294"/>
      <c r="AY42" s="294"/>
      <c r="AZ42" s="294"/>
      <c r="BA42" s="294"/>
      <c r="BB42" s="294"/>
      <c r="BC42" s="294"/>
      <c r="BD42" s="294" t="s">
        <v>42</v>
      </c>
      <c r="BE42" s="294" t="s">
        <v>42</v>
      </c>
      <c r="BF42" s="294" t="s">
        <v>42</v>
      </c>
      <c r="BG42" s="294" t="s">
        <v>42</v>
      </c>
      <c r="BH42" s="294" t="s">
        <v>42</v>
      </c>
      <c r="BI42" s="294" t="s">
        <v>42</v>
      </c>
      <c r="BJ42" s="294" t="s">
        <v>42</v>
      </c>
      <c r="BK42" s="294" t="s">
        <v>42</v>
      </c>
      <c r="BL42" s="294" t="s">
        <v>42</v>
      </c>
      <c r="BM42" s="294" t="s">
        <v>148</v>
      </c>
      <c r="BN42" s="294" t="s">
        <v>42</v>
      </c>
      <c r="BO42" s="294" t="s">
        <v>42</v>
      </c>
      <c r="BP42" s="294" t="s">
        <v>43</v>
      </c>
      <c r="BQ42" s="294" t="s">
        <v>42</v>
      </c>
    </row>
    <row r="43" spans="1:82" s="106" customFormat="1" ht="111" customHeight="1" thickBot="1" x14ac:dyDescent="0.3">
      <c r="A43" s="300" t="s">
        <v>318</v>
      </c>
      <c r="B43" s="313" t="s">
        <v>319</v>
      </c>
      <c r="C43" s="314">
        <v>28024131</v>
      </c>
      <c r="D43" s="333" t="s">
        <v>320</v>
      </c>
      <c r="E43" s="303">
        <v>10620000</v>
      </c>
      <c r="F43" s="304"/>
      <c r="G43" s="304"/>
      <c r="H43" s="323">
        <f>E43/10</f>
        <v>1062000</v>
      </c>
      <c r="I43" s="308">
        <v>45365</v>
      </c>
      <c r="J43" s="308">
        <v>45657</v>
      </c>
      <c r="K43" s="309" t="s">
        <v>302</v>
      </c>
      <c r="L43" s="308">
        <v>45352</v>
      </c>
      <c r="M43" s="309" t="s">
        <v>332</v>
      </c>
      <c r="N43" s="308">
        <v>45365</v>
      </c>
      <c r="O43" s="310">
        <f t="shared" si="4"/>
        <v>292</v>
      </c>
      <c r="P43" s="325"/>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94"/>
      <c r="AP43" s="294"/>
      <c r="AQ43" s="294"/>
      <c r="AR43" s="294"/>
      <c r="AS43" s="294"/>
      <c r="AT43" s="294"/>
      <c r="AU43" s="294"/>
      <c r="AV43" s="294"/>
      <c r="AW43" s="294"/>
      <c r="AX43" s="294"/>
      <c r="AY43" s="294"/>
      <c r="AZ43" s="294"/>
      <c r="BA43" s="294"/>
      <c r="BB43" s="294"/>
      <c r="BC43" s="294"/>
      <c r="BD43" s="294" t="s">
        <v>42</v>
      </c>
      <c r="BE43" s="294" t="s">
        <v>42</v>
      </c>
      <c r="BF43" s="294" t="s">
        <v>42</v>
      </c>
      <c r="BG43" s="294" t="s">
        <v>42</v>
      </c>
      <c r="BH43" s="294" t="s">
        <v>42</v>
      </c>
      <c r="BI43" s="294" t="s">
        <v>42</v>
      </c>
      <c r="BJ43" s="294" t="s">
        <v>42</v>
      </c>
      <c r="BK43" s="294" t="s">
        <v>42</v>
      </c>
      <c r="BL43" s="294" t="s">
        <v>42</v>
      </c>
      <c r="BM43" s="294" t="s">
        <v>148</v>
      </c>
      <c r="BN43" s="294" t="s">
        <v>43</v>
      </c>
      <c r="BO43" s="294" t="s">
        <v>42</v>
      </c>
      <c r="BP43" s="294" t="s">
        <v>43</v>
      </c>
      <c r="BQ43" s="294" t="s">
        <v>42</v>
      </c>
    </row>
    <row r="44" spans="1:82" ht="99" customHeight="1" thickBot="1" x14ac:dyDescent="0.3">
      <c r="A44" s="300" t="s">
        <v>321</v>
      </c>
      <c r="B44" s="321" t="s">
        <v>322</v>
      </c>
      <c r="C44" s="322">
        <v>1099874834</v>
      </c>
      <c r="D44" s="333" t="s">
        <v>323</v>
      </c>
      <c r="E44" s="326">
        <v>15667600</v>
      </c>
      <c r="F44" s="304"/>
      <c r="G44" s="327"/>
      <c r="H44" s="328">
        <f>E44/10</f>
        <v>1566760</v>
      </c>
      <c r="I44" s="329">
        <v>45356</v>
      </c>
      <c r="J44" s="329">
        <v>45657</v>
      </c>
      <c r="K44" s="330" t="s">
        <v>333</v>
      </c>
      <c r="L44" s="329">
        <v>45349</v>
      </c>
      <c r="M44" s="330" t="s">
        <v>334</v>
      </c>
      <c r="N44" s="329">
        <v>45356</v>
      </c>
      <c r="O44" s="331">
        <f t="shared" si="4"/>
        <v>301</v>
      </c>
      <c r="P44" s="332"/>
      <c r="Q44" s="295"/>
      <c r="R44" s="128"/>
      <c r="S44" s="128"/>
      <c r="T44" s="128"/>
      <c r="U44" s="128" t="s">
        <v>42</v>
      </c>
      <c r="V44" s="128" t="s">
        <v>42</v>
      </c>
      <c r="W44" s="128" t="s">
        <v>42</v>
      </c>
      <c r="X44" s="128" t="s">
        <v>42</v>
      </c>
      <c r="Y44" s="128" t="s">
        <v>42</v>
      </c>
      <c r="Z44" s="128"/>
      <c r="AA44" s="128"/>
      <c r="AB44" s="296"/>
      <c r="AC44" s="295"/>
      <c r="AD44" s="128"/>
      <c r="AE44" s="128"/>
      <c r="AF44" s="128"/>
      <c r="AG44" s="128" t="s">
        <v>42</v>
      </c>
      <c r="AH44" s="128" t="s">
        <v>42</v>
      </c>
      <c r="AI44" s="128" t="s">
        <v>42</v>
      </c>
      <c r="AJ44" s="128" t="s">
        <v>42</v>
      </c>
      <c r="AK44" s="128" t="s">
        <v>42</v>
      </c>
      <c r="AL44" s="128"/>
      <c r="AM44" s="128"/>
      <c r="AN44" s="296"/>
      <c r="AO44" s="297"/>
      <c r="AP44" s="298"/>
      <c r="AQ44" s="298"/>
      <c r="AR44" s="298" t="s">
        <v>161</v>
      </c>
      <c r="AS44" s="298" t="s">
        <v>42</v>
      </c>
      <c r="AT44" s="298" t="s">
        <v>42</v>
      </c>
      <c r="AU44" s="298" t="s">
        <v>42</v>
      </c>
      <c r="AV44" s="298" t="s">
        <v>42</v>
      </c>
      <c r="AW44" s="298" t="s">
        <v>42</v>
      </c>
      <c r="AX44" s="298"/>
      <c r="AY44" s="298"/>
      <c r="AZ44" s="299"/>
      <c r="BA44" s="298"/>
      <c r="BB44" s="298"/>
      <c r="BC44" s="298"/>
      <c r="BD44" s="298" t="s">
        <v>42</v>
      </c>
      <c r="BE44" s="298" t="s">
        <v>42</v>
      </c>
      <c r="BF44" s="298" t="s">
        <v>42</v>
      </c>
      <c r="BG44" s="298" t="s">
        <v>42</v>
      </c>
      <c r="BH44" s="298" t="s">
        <v>42</v>
      </c>
      <c r="BI44" s="298" t="s">
        <v>42</v>
      </c>
      <c r="BJ44" s="298" t="s">
        <v>42</v>
      </c>
      <c r="BK44" s="298" t="s">
        <v>42</v>
      </c>
      <c r="BL44" s="298" t="s">
        <v>42</v>
      </c>
      <c r="BM44" s="298" t="s">
        <v>42</v>
      </c>
      <c r="BN44" s="298" t="s">
        <v>43</v>
      </c>
      <c r="BO44" s="298" t="s">
        <v>43</v>
      </c>
      <c r="BP44" s="298" t="s">
        <v>148</v>
      </c>
      <c r="BQ44" s="298" t="s">
        <v>42</v>
      </c>
    </row>
    <row r="45" spans="1:82" ht="93" customHeight="1" thickBot="1" x14ac:dyDescent="0.3">
      <c r="A45" s="344" t="s">
        <v>335</v>
      </c>
      <c r="B45" s="345" t="s">
        <v>336</v>
      </c>
      <c r="C45" s="335">
        <v>91178350</v>
      </c>
      <c r="D45" s="336" t="s">
        <v>12</v>
      </c>
      <c r="E45" s="337">
        <v>5700000</v>
      </c>
      <c r="F45" s="338"/>
      <c r="G45" s="338"/>
      <c r="H45" s="339">
        <f>E45/3</f>
        <v>1900000</v>
      </c>
      <c r="I45" s="340">
        <v>45385</v>
      </c>
      <c r="J45" s="340">
        <v>45473</v>
      </c>
      <c r="K45" s="341" t="s">
        <v>353</v>
      </c>
      <c r="L45" s="340">
        <v>45371</v>
      </c>
      <c r="M45" s="341" t="s">
        <v>354</v>
      </c>
      <c r="N45" s="340">
        <v>45385</v>
      </c>
      <c r="O45" s="342">
        <f t="shared" si="4"/>
        <v>88</v>
      </c>
      <c r="P45" s="343"/>
      <c r="Q45" s="56"/>
      <c r="R45" s="57"/>
      <c r="S45" s="57"/>
      <c r="T45" s="57"/>
      <c r="U45" s="57" t="s">
        <v>42</v>
      </c>
      <c r="V45" s="57" t="s">
        <v>42</v>
      </c>
      <c r="W45" s="57" t="s">
        <v>42</v>
      </c>
      <c r="X45" s="57" t="s">
        <v>42</v>
      </c>
      <c r="Y45" s="57" t="s">
        <v>42</v>
      </c>
      <c r="Z45" s="57"/>
      <c r="AA45" s="57"/>
      <c r="AB45" s="58"/>
      <c r="AC45" s="56"/>
      <c r="AD45" s="57"/>
      <c r="AE45" s="57"/>
      <c r="AF45" s="57"/>
      <c r="AG45" s="57" t="s">
        <v>42</v>
      </c>
      <c r="AH45" s="57" t="s">
        <v>42</v>
      </c>
      <c r="AI45" s="57" t="s">
        <v>42</v>
      </c>
      <c r="AJ45" s="57" t="s">
        <v>42</v>
      </c>
      <c r="AK45" s="57" t="s">
        <v>42</v>
      </c>
      <c r="AL45" s="57"/>
      <c r="AM45" s="57"/>
      <c r="AN45" s="58"/>
      <c r="AO45" s="59"/>
      <c r="AP45" s="60"/>
      <c r="AQ45" s="60"/>
      <c r="AR45" s="60"/>
      <c r="AS45" s="60" t="s">
        <v>42</v>
      </c>
      <c r="AT45" s="60" t="s">
        <v>42</v>
      </c>
      <c r="AU45" s="60" t="s">
        <v>42</v>
      </c>
      <c r="AV45" s="60" t="s">
        <v>42</v>
      </c>
      <c r="AW45" s="60" t="s">
        <v>42</v>
      </c>
      <c r="AX45" s="60"/>
      <c r="AY45" s="60"/>
      <c r="AZ45" s="61"/>
      <c r="BA45" s="60"/>
      <c r="BB45" s="60"/>
      <c r="BC45" s="60"/>
      <c r="BD45" s="60" t="s">
        <v>42</v>
      </c>
      <c r="BE45" s="60" t="s">
        <v>42</v>
      </c>
      <c r="BF45" s="60" t="s">
        <v>42</v>
      </c>
      <c r="BG45" s="60" t="s">
        <v>42</v>
      </c>
      <c r="BH45" s="60" t="s">
        <v>42</v>
      </c>
      <c r="BI45" s="60" t="s">
        <v>42</v>
      </c>
      <c r="BJ45" s="60" t="s">
        <v>42</v>
      </c>
      <c r="BK45" s="60" t="s">
        <v>42</v>
      </c>
      <c r="BL45" s="60" t="s">
        <v>42</v>
      </c>
      <c r="BM45" s="60" t="s">
        <v>148</v>
      </c>
      <c r="BN45" s="60" t="s">
        <v>43</v>
      </c>
      <c r="BO45" s="60" t="s">
        <v>42</v>
      </c>
      <c r="BP45" s="298" t="s">
        <v>148</v>
      </c>
      <c r="BQ45" s="60" t="s">
        <v>42</v>
      </c>
    </row>
    <row r="46" spans="1:82" ht="108" customHeight="1" thickBot="1" x14ac:dyDescent="0.3">
      <c r="A46" s="334" t="s">
        <v>337</v>
      </c>
      <c r="B46" s="346" t="s">
        <v>338</v>
      </c>
      <c r="C46" s="346" t="s">
        <v>339</v>
      </c>
      <c r="D46" s="347" t="s">
        <v>340</v>
      </c>
      <c r="E46" s="337">
        <v>13200000</v>
      </c>
      <c r="F46" s="338"/>
      <c r="G46" s="338"/>
      <c r="H46" s="339">
        <f>E46/9</f>
        <v>1466666.6666666667</v>
      </c>
      <c r="I46" s="340">
        <v>45398</v>
      </c>
      <c r="J46" s="340">
        <v>45657</v>
      </c>
      <c r="K46" s="341" t="s">
        <v>351</v>
      </c>
      <c r="L46" s="340">
        <v>45378</v>
      </c>
      <c r="M46" s="341" t="s">
        <v>352</v>
      </c>
      <c r="N46" s="340">
        <v>45398</v>
      </c>
      <c r="O46" s="342">
        <f t="shared" si="4"/>
        <v>259</v>
      </c>
      <c r="P46" s="343"/>
      <c r="Q46" s="56"/>
      <c r="R46" s="57"/>
      <c r="S46" s="57"/>
      <c r="T46" s="57"/>
      <c r="U46" s="57"/>
      <c r="V46" s="57"/>
      <c r="W46" s="57"/>
      <c r="X46" s="57"/>
      <c r="Y46" s="57"/>
      <c r="Z46" s="57"/>
      <c r="AA46" s="57"/>
      <c r="AB46" s="58"/>
      <c r="AC46" s="56"/>
      <c r="AD46" s="57"/>
      <c r="AE46" s="57"/>
      <c r="AF46" s="57"/>
      <c r="AG46" s="57"/>
      <c r="AH46" s="57"/>
      <c r="AI46" s="57"/>
      <c r="AJ46" s="57"/>
      <c r="AK46" s="57"/>
      <c r="AL46" s="57"/>
      <c r="AM46" s="57"/>
      <c r="AN46" s="58"/>
      <c r="AO46" s="59"/>
      <c r="AP46" s="60"/>
      <c r="AQ46" s="60"/>
      <c r="AR46" s="60"/>
      <c r="AS46" s="60"/>
      <c r="AT46" s="60"/>
      <c r="AU46" s="60"/>
      <c r="AV46" s="60"/>
      <c r="AW46" s="60"/>
      <c r="AX46" s="60"/>
      <c r="AY46" s="60"/>
      <c r="AZ46" s="61"/>
      <c r="BA46" s="60"/>
      <c r="BB46" s="60"/>
      <c r="BC46" s="60"/>
      <c r="BD46" s="60"/>
      <c r="BE46" s="60"/>
      <c r="BF46" s="60"/>
      <c r="BG46" s="60"/>
      <c r="BH46" s="60"/>
      <c r="BI46" s="60"/>
      <c r="BJ46" s="60"/>
      <c r="BK46" s="60"/>
      <c r="BL46" s="60"/>
      <c r="BM46" s="60"/>
      <c r="BN46" s="60"/>
      <c r="BO46" s="60"/>
      <c r="BP46" s="60"/>
      <c r="BQ46" s="60"/>
    </row>
    <row r="47" spans="1:82" ht="82.5" customHeight="1" thickBot="1" x14ac:dyDescent="0.3">
      <c r="A47" s="348" t="s">
        <v>341</v>
      </c>
      <c r="B47" s="346" t="s">
        <v>342</v>
      </c>
      <c r="C47" s="350">
        <v>1005549332</v>
      </c>
      <c r="D47" s="347" t="s">
        <v>343</v>
      </c>
      <c r="E47" s="337">
        <v>5200000</v>
      </c>
      <c r="F47" s="338"/>
      <c r="G47" s="338"/>
      <c r="H47" s="339">
        <f>E47/3</f>
        <v>1733333.3333333333</v>
      </c>
      <c r="I47" s="340">
        <v>45401</v>
      </c>
      <c r="J47" s="340">
        <v>45473</v>
      </c>
      <c r="K47" s="341" t="s">
        <v>349</v>
      </c>
      <c r="L47" s="340">
        <v>45384</v>
      </c>
      <c r="M47" s="341" t="s">
        <v>350</v>
      </c>
      <c r="N47" s="340">
        <v>45398</v>
      </c>
      <c r="O47" s="342">
        <f t="shared" si="4"/>
        <v>72</v>
      </c>
      <c r="P47" s="343"/>
      <c r="Q47" s="56"/>
      <c r="R47" s="57"/>
      <c r="S47" s="57"/>
      <c r="T47" s="57"/>
      <c r="U47" s="57"/>
      <c r="V47" s="57"/>
      <c r="W47" s="57"/>
      <c r="X47" s="57"/>
      <c r="Y47" s="57"/>
      <c r="Z47" s="57"/>
      <c r="AA47" s="57"/>
      <c r="AB47" s="58"/>
      <c r="AC47" s="56"/>
      <c r="AD47" s="57"/>
      <c r="AE47" s="57"/>
      <c r="AF47" s="57"/>
      <c r="AG47" s="57"/>
      <c r="AH47" s="57"/>
      <c r="AI47" s="57"/>
      <c r="AJ47" s="57"/>
      <c r="AK47" s="57"/>
      <c r="AL47" s="57"/>
      <c r="AM47" s="57"/>
      <c r="AN47" s="58"/>
      <c r="AO47" s="59"/>
      <c r="AP47" s="60"/>
      <c r="AQ47" s="60"/>
      <c r="AR47" s="60"/>
      <c r="AS47" s="60"/>
      <c r="AT47" s="60"/>
      <c r="AU47" s="60"/>
      <c r="AV47" s="60"/>
      <c r="AW47" s="60"/>
      <c r="AX47" s="60"/>
      <c r="AY47" s="60"/>
      <c r="AZ47" s="61"/>
      <c r="BA47" s="60"/>
      <c r="BB47" s="60"/>
      <c r="BC47" s="60"/>
      <c r="BD47" s="60"/>
      <c r="BE47" s="60"/>
      <c r="BF47" s="60"/>
      <c r="BG47" s="60"/>
      <c r="BH47" s="60"/>
      <c r="BI47" s="60"/>
      <c r="BJ47" s="60"/>
      <c r="BK47" s="60"/>
      <c r="BL47" s="60"/>
      <c r="BM47" s="60"/>
      <c r="BN47" s="60"/>
      <c r="BO47" s="60"/>
      <c r="BP47" s="60"/>
      <c r="BQ47" s="60"/>
    </row>
    <row r="48" spans="1:82" ht="66.75" customHeight="1" thickBot="1" x14ac:dyDescent="0.3">
      <c r="A48" s="348" t="s">
        <v>344</v>
      </c>
      <c r="B48" s="351" t="s">
        <v>345</v>
      </c>
      <c r="C48" s="352">
        <v>1098739191</v>
      </c>
      <c r="D48" s="347" t="s">
        <v>346</v>
      </c>
      <c r="E48" s="337">
        <v>6500000</v>
      </c>
      <c r="F48" s="338"/>
      <c r="G48" s="338"/>
      <c r="H48" s="339">
        <f>E48/3</f>
        <v>2166666.6666666665</v>
      </c>
      <c r="I48" s="340">
        <v>45407</v>
      </c>
      <c r="J48" s="340">
        <v>45473</v>
      </c>
      <c r="K48" s="341" t="s">
        <v>347</v>
      </c>
      <c r="L48" s="340">
        <v>45384</v>
      </c>
      <c r="M48" s="341" t="s">
        <v>348</v>
      </c>
      <c r="N48" s="340">
        <v>45407</v>
      </c>
      <c r="O48" s="342">
        <f t="shared" si="4"/>
        <v>66</v>
      </c>
      <c r="P48" s="349"/>
      <c r="Q48" s="24"/>
      <c r="R48" s="57"/>
      <c r="S48" s="56"/>
      <c r="T48" s="57"/>
      <c r="U48" s="57"/>
      <c r="V48" s="57"/>
      <c r="W48" s="57" t="s">
        <v>42</v>
      </c>
      <c r="X48" s="57" t="s">
        <v>42</v>
      </c>
      <c r="Y48" s="57"/>
      <c r="Z48" s="57"/>
      <c r="AA48" s="57"/>
      <c r="AB48" s="58"/>
      <c r="AC48" s="56"/>
      <c r="AD48" s="57"/>
      <c r="AE48" s="57"/>
      <c r="AF48" s="57"/>
      <c r="AG48" s="57"/>
      <c r="AH48" s="57"/>
      <c r="AI48" s="57" t="s">
        <v>42</v>
      </c>
      <c r="AJ48" s="57" t="s">
        <v>42</v>
      </c>
      <c r="AK48" s="57"/>
      <c r="AL48" s="57"/>
      <c r="AM48" s="57"/>
      <c r="AN48" s="58"/>
      <c r="AO48" s="59"/>
      <c r="AP48" s="60"/>
      <c r="AQ48" s="60"/>
      <c r="AR48" s="60"/>
      <c r="AS48" s="60"/>
      <c r="AT48" s="60"/>
      <c r="AU48" s="60" t="s">
        <v>42</v>
      </c>
      <c r="AV48" s="60" t="s">
        <v>42</v>
      </c>
      <c r="AW48" s="60"/>
      <c r="AX48" s="60"/>
      <c r="AY48" s="60"/>
      <c r="AZ48" s="61"/>
      <c r="BA48" s="60"/>
      <c r="BB48" s="60"/>
      <c r="BC48" s="60"/>
      <c r="BD48" s="60" t="s">
        <v>42</v>
      </c>
      <c r="BE48" s="60" t="s">
        <v>42</v>
      </c>
      <c r="BF48" s="60" t="s">
        <v>42</v>
      </c>
      <c r="BG48" s="60" t="s">
        <v>42</v>
      </c>
      <c r="BH48" s="60" t="s">
        <v>42</v>
      </c>
      <c r="BI48" s="60" t="s">
        <v>42</v>
      </c>
      <c r="BJ48" s="60" t="s">
        <v>42</v>
      </c>
      <c r="BK48" s="60" t="s">
        <v>42</v>
      </c>
      <c r="BL48" s="60" t="s">
        <v>42</v>
      </c>
      <c r="BM48" s="60" t="s">
        <v>148</v>
      </c>
      <c r="BN48" s="60" t="s">
        <v>43</v>
      </c>
      <c r="BO48" s="60" t="s">
        <v>42</v>
      </c>
      <c r="BP48" s="60" t="s">
        <v>148</v>
      </c>
      <c r="BQ48" s="60" t="s">
        <v>42</v>
      </c>
    </row>
    <row r="49" spans="1:81" ht="65.25" customHeight="1" thickBot="1" x14ac:dyDescent="0.3">
      <c r="A49" s="353" t="s">
        <v>355</v>
      </c>
      <c r="B49" s="354" t="s">
        <v>257</v>
      </c>
      <c r="C49" s="355" t="s">
        <v>130</v>
      </c>
      <c r="D49" s="356" t="s">
        <v>356</v>
      </c>
      <c r="E49" s="138">
        <v>13000000</v>
      </c>
      <c r="F49" s="357"/>
      <c r="G49" s="138"/>
      <c r="H49" s="138"/>
      <c r="I49" s="140">
        <v>45414</v>
      </c>
      <c r="J49" s="140">
        <v>45473</v>
      </c>
      <c r="K49" s="365" t="s">
        <v>365</v>
      </c>
      <c r="L49" s="140">
        <v>45400</v>
      </c>
      <c r="M49" s="365" t="s">
        <v>366</v>
      </c>
      <c r="N49" s="140">
        <v>45414</v>
      </c>
      <c r="O49" s="366">
        <f t="shared" ref="O49:O56" si="5">J49-I49</f>
        <v>59</v>
      </c>
      <c r="P49" s="367"/>
      <c r="Q49" s="56"/>
      <c r="R49" s="57"/>
      <c r="S49" s="57"/>
      <c r="T49" s="57"/>
      <c r="U49" s="57"/>
      <c r="V49" s="57"/>
      <c r="W49" s="57" t="s">
        <v>42</v>
      </c>
      <c r="X49" s="57"/>
      <c r="Y49" s="57"/>
      <c r="Z49" s="57"/>
      <c r="AA49" s="57"/>
      <c r="AB49" s="58"/>
      <c r="AC49" s="56"/>
      <c r="AD49" s="57"/>
      <c r="AE49" s="57"/>
      <c r="AF49" s="57"/>
      <c r="AG49" s="57"/>
      <c r="AH49" s="57"/>
      <c r="AI49" s="57" t="s">
        <v>42</v>
      </c>
      <c r="AJ49" s="57"/>
      <c r="AK49" s="57"/>
      <c r="AL49" s="57"/>
      <c r="AM49" s="57"/>
      <c r="AN49" s="58"/>
      <c r="AO49" s="59"/>
      <c r="AP49" s="60"/>
      <c r="AQ49" s="60"/>
      <c r="AR49" s="60"/>
      <c r="AS49" s="60"/>
      <c r="AT49" s="60"/>
      <c r="AU49" s="60" t="s">
        <v>42</v>
      </c>
      <c r="AV49" s="60"/>
      <c r="AW49" s="60"/>
      <c r="AX49" s="60"/>
      <c r="AY49" s="60"/>
      <c r="AZ49" s="61"/>
      <c r="BA49" s="60"/>
      <c r="BB49" s="60"/>
      <c r="BC49" s="60"/>
      <c r="BD49" s="60" t="s">
        <v>42</v>
      </c>
      <c r="BE49" s="60" t="s">
        <v>42</v>
      </c>
      <c r="BF49" s="60" t="s">
        <v>42</v>
      </c>
      <c r="BG49" s="60" t="s">
        <v>42</v>
      </c>
      <c r="BH49" s="60" t="s">
        <v>42</v>
      </c>
      <c r="BI49" s="60" t="s">
        <v>42</v>
      </c>
      <c r="BJ49" s="60" t="s">
        <v>42</v>
      </c>
      <c r="BK49" s="60" t="s">
        <v>42</v>
      </c>
      <c r="BL49" s="60" t="s">
        <v>42</v>
      </c>
      <c r="BM49" s="60" t="s">
        <v>148</v>
      </c>
      <c r="BN49" s="60" t="s">
        <v>42</v>
      </c>
      <c r="BO49" s="60" t="s">
        <v>42</v>
      </c>
      <c r="BP49" s="60" t="s">
        <v>148</v>
      </c>
      <c r="BQ49" s="60" t="s">
        <v>42</v>
      </c>
    </row>
    <row r="50" spans="1:81" s="1" customFormat="1" ht="131.25" customHeight="1" thickBot="1" x14ac:dyDescent="0.3">
      <c r="A50" s="358" t="s">
        <v>357</v>
      </c>
      <c r="B50" s="354" t="s">
        <v>22</v>
      </c>
      <c r="C50" s="359">
        <v>37726337</v>
      </c>
      <c r="D50" s="356" t="s">
        <v>358</v>
      </c>
      <c r="E50" s="138">
        <v>5000000</v>
      </c>
      <c r="F50" s="357"/>
      <c r="G50" s="141"/>
      <c r="H50" s="141">
        <f>E50/2</f>
        <v>2500000</v>
      </c>
      <c r="I50" s="140">
        <v>45414</v>
      </c>
      <c r="J50" s="140">
        <v>45473</v>
      </c>
      <c r="K50" s="365" t="s">
        <v>368</v>
      </c>
      <c r="L50" s="140">
        <v>45384</v>
      </c>
      <c r="M50" s="365" t="s">
        <v>367</v>
      </c>
      <c r="N50" s="140">
        <v>45414</v>
      </c>
      <c r="O50" s="366">
        <f t="shared" si="5"/>
        <v>59</v>
      </c>
      <c r="P50" s="367"/>
      <c r="Q50" s="76"/>
      <c r="R50" s="77"/>
      <c r="S50" s="77"/>
      <c r="T50" s="77"/>
      <c r="U50" s="77"/>
      <c r="V50" s="77"/>
      <c r="W50" s="77"/>
      <c r="X50" s="77"/>
      <c r="Y50" s="77"/>
      <c r="Z50" s="77"/>
      <c r="AA50" s="77"/>
      <c r="AB50" s="78"/>
      <c r="AC50" s="76"/>
      <c r="AD50" s="77"/>
      <c r="AE50" s="77"/>
      <c r="AF50" s="77"/>
      <c r="AG50" s="77"/>
      <c r="AH50" s="77"/>
      <c r="AI50" s="77"/>
      <c r="AJ50" s="77"/>
      <c r="AK50" s="77"/>
      <c r="AL50" s="77"/>
      <c r="AM50" s="77"/>
      <c r="AN50" s="78"/>
      <c r="AO50" s="79"/>
      <c r="AP50" s="63"/>
      <c r="AQ50" s="63"/>
      <c r="AR50" s="63"/>
      <c r="AS50" s="63"/>
      <c r="AT50" s="63"/>
      <c r="AU50" s="63"/>
      <c r="AV50" s="63"/>
      <c r="AW50" s="63"/>
      <c r="AX50" s="63"/>
      <c r="AY50" s="63"/>
      <c r="AZ50" s="64"/>
      <c r="BA50" s="63"/>
      <c r="BB50" s="63"/>
      <c r="BC50" s="63"/>
      <c r="BD50" s="63" t="s">
        <v>42</v>
      </c>
      <c r="BE50" s="63" t="s">
        <v>42</v>
      </c>
      <c r="BF50" s="63" t="s">
        <v>42</v>
      </c>
      <c r="BG50" s="63" t="s">
        <v>42</v>
      </c>
      <c r="BH50" s="63" t="s">
        <v>42</v>
      </c>
      <c r="BI50" s="63" t="s">
        <v>42</v>
      </c>
      <c r="BJ50" s="63" t="s">
        <v>42</v>
      </c>
      <c r="BK50" s="63" t="s">
        <v>42</v>
      </c>
      <c r="BL50" s="63" t="s">
        <v>42</v>
      </c>
      <c r="BM50" s="60" t="s">
        <v>148</v>
      </c>
      <c r="BN50" s="63" t="s">
        <v>42</v>
      </c>
      <c r="BO50" s="63" t="s">
        <v>42</v>
      </c>
      <c r="BP50" s="60" t="s">
        <v>148</v>
      </c>
      <c r="BQ50" s="60" t="s">
        <v>42</v>
      </c>
    </row>
    <row r="51" spans="1:81" s="1" customFormat="1" ht="82.5" customHeight="1" thickBot="1" x14ac:dyDescent="0.3">
      <c r="A51" s="358" t="s">
        <v>359</v>
      </c>
      <c r="B51" s="360" t="s">
        <v>295</v>
      </c>
      <c r="C51" s="361">
        <v>1005210936</v>
      </c>
      <c r="D51" s="356" t="s">
        <v>68</v>
      </c>
      <c r="E51" s="138">
        <v>3600000</v>
      </c>
      <c r="F51" s="357"/>
      <c r="G51" s="141"/>
      <c r="H51" s="141">
        <f>E51/2</f>
        <v>1800000</v>
      </c>
      <c r="I51" s="140">
        <v>45414</v>
      </c>
      <c r="J51" s="140">
        <v>45473</v>
      </c>
      <c r="K51" s="365" t="s">
        <v>369</v>
      </c>
      <c r="L51" s="140">
        <v>45406</v>
      </c>
      <c r="M51" s="365" t="s">
        <v>370</v>
      </c>
      <c r="N51" s="140">
        <v>45420</v>
      </c>
      <c r="O51" s="366">
        <f t="shared" si="5"/>
        <v>59</v>
      </c>
      <c r="P51" s="368"/>
      <c r="Q51" s="76"/>
      <c r="R51" s="77"/>
      <c r="S51" s="77"/>
      <c r="T51" s="77"/>
      <c r="U51" s="77"/>
      <c r="V51" s="77"/>
      <c r="W51" s="77"/>
      <c r="X51" s="77"/>
      <c r="Y51" s="77"/>
      <c r="Z51" s="77"/>
      <c r="AA51" s="77"/>
      <c r="AB51" s="78"/>
      <c r="AC51" s="76"/>
      <c r="AD51" s="77"/>
      <c r="AE51" s="77"/>
      <c r="AF51" s="77"/>
      <c r="AG51" s="77"/>
      <c r="AH51" s="77"/>
      <c r="AI51" s="77"/>
      <c r="AJ51" s="77"/>
      <c r="AK51" s="77"/>
      <c r="AL51" s="77"/>
      <c r="AM51" s="77"/>
      <c r="AN51" s="78"/>
      <c r="AO51" s="79"/>
      <c r="AP51" s="63"/>
      <c r="AQ51" s="63"/>
      <c r="AR51" s="63"/>
      <c r="AS51" s="63"/>
      <c r="AT51" s="63"/>
      <c r="AU51" s="63"/>
      <c r="AV51" s="63"/>
      <c r="AW51" s="63"/>
      <c r="AX51" s="63"/>
      <c r="AY51" s="63"/>
      <c r="AZ51" s="64"/>
      <c r="BA51" s="63"/>
      <c r="BB51" s="63"/>
      <c r="BC51" s="63"/>
      <c r="BD51" s="63" t="s">
        <v>42</v>
      </c>
      <c r="BE51" s="63" t="s">
        <v>42</v>
      </c>
      <c r="BF51" s="63" t="s">
        <v>42</v>
      </c>
      <c r="BG51" s="63" t="s">
        <v>42</v>
      </c>
      <c r="BH51" s="63" t="s">
        <v>42</v>
      </c>
      <c r="BI51" s="63" t="s">
        <v>42</v>
      </c>
      <c r="BJ51" s="63" t="s">
        <v>42</v>
      </c>
      <c r="BK51" s="63" t="s">
        <v>42</v>
      </c>
      <c r="BL51" s="63" t="s">
        <v>42</v>
      </c>
      <c r="BM51" s="63" t="s">
        <v>42</v>
      </c>
      <c r="BN51" s="63" t="s">
        <v>42</v>
      </c>
      <c r="BO51" s="63" t="s">
        <v>42</v>
      </c>
      <c r="BP51" s="63" t="s">
        <v>43</v>
      </c>
      <c r="BQ51" s="63" t="s">
        <v>42</v>
      </c>
    </row>
    <row r="52" spans="1:81" ht="81" customHeight="1" thickBot="1" x14ac:dyDescent="0.3">
      <c r="A52" s="362" t="s">
        <v>360</v>
      </c>
      <c r="B52" s="360" t="s">
        <v>361</v>
      </c>
      <c r="C52" s="363">
        <v>1193124365</v>
      </c>
      <c r="D52" s="356" t="s">
        <v>362</v>
      </c>
      <c r="E52" s="138">
        <v>3800000</v>
      </c>
      <c r="F52" s="139"/>
      <c r="G52" s="141"/>
      <c r="H52" s="141">
        <f>E52/2</f>
        <v>1900000</v>
      </c>
      <c r="I52" s="140">
        <v>45420</v>
      </c>
      <c r="J52" s="140">
        <v>45473</v>
      </c>
      <c r="K52" s="365" t="s">
        <v>371</v>
      </c>
      <c r="L52" s="140">
        <v>45414</v>
      </c>
      <c r="M52" s="365" t="s">
        <v>372</v>
      </c>
      <c r="N52" s="140">
        <v>45420</v>
      </c>
      <c r="O52" s="366">
        <f t="shared" si="5"/>
        <v>53</v>
      </c>
      <c r="P52" s="368"/>
      <c r="Q52" s="59"/>
      <c r="R52" s="60"/>
      <c r="S52" s="60"/>
      <c r="T52" s="60"/>
      <c r="U52" s="60"/>
      <c r="V52" s="60"/>
      <c r="W52" s="60"/>
      <c r="X52" s="60"/>
      <c r="Y52" s="60"/>
      <c r="Z52" s="60"/>
      <c r="AA52" s="60"/>
      <c r="AB52" s="67"/>
      <c r="AC52" s="59"/>
      <c r="AD52" s="60"/>
      <c r="AE52" s="60"/>
      <c r="AF52" s="60"/>
      <c r="AG52" s="60"/>
      <c r="AH52" s="60"/>
      <c r="AI52" s="60"/>
      <c r="AJ52" s="60"/>
      <c r="AK52" s="60"/>
      <c r="AL52" s="60"/>
      <c r="AM52" s="60"/>
      <c r="AN52" s="67"/>
      <c r="AO52" s="59"/>
      <c r="AP52" s="60"/>
      <c r="AQ52" s="60"/>
      <c r="AR52" s="60"/>
      <c r="AS52" s="60"/>
      <c r="AT52" s="60"/>
      <c r="AU52" s="60"/>
      <c r="AV52" s="60"/>
      <c r="AW52" s="60"/>
      <c r="AX52" s="60"/>
      <c r="AY52" s="60"/>
      <c r="AZ52" s="61"/>
      <c r="BA52" s="60"/>
      <c r="BB52" s="60"/>
      <c r="BC52" s="60"/>
      <c r="BD52" s="60"/>
      <c r="BE52" s="60"/>
      <c r="BF52" s="60"/>
      <c r="BG52" s="60"/>
      <c r="BH52" s="60"/>
      <c r="BI52" s="60"/>
      <c r="BJ52" s="60"/>
      <c r="BK52" s="60"/>
      <c r="BL52" s="60"/>
      <c r="BM52" s="60"/>
      <c r="BN52" s="60"/>
      <c r="BO52" s="60"/>
      <c r="BP52" s="60"/>
      <c r="BQ52" s="63"/>
    </row>
    <row r="53" spans="1:81" ht="40.5" customHeight="1" thickBot="1" x14ac:dyDescent="0.3">
      <c r="A53" s="353" t="s">
        <v>363</v>
      </c>
      <c r="B53" s="364" t="s">
        <v>364</v>
      </c>
      <c r="C53" s="359">
        <v>1095834100</v>
      </c>
      <c r="D53" s="356" t="s">
        <v>88</v>
      </c>
      <c r="E53" s="138">
        <v>25350000</v>
      </c>
      <c r="F53" s="139"/>
      <c r="G53" s="141"/>
      <c r="H53" s="141">
        <f>E53/8</f>
        <v>3168750</v>
      </c>
      <c r="I53" s="140">
        <v>45420</v>
      </c>
      <c r="J53" s="140">
        <v>45657</v>
      </c>
      <c r="K53" s="365" t="s">
        <v>373</v>
      </c>
      <c r="L53" s="140">
        <v>45414</v>
      </c>
      <c r="M53" s="365" t="s">
        <v>374</v>
      </c>
      <c r="N53" s="140">
        <v>45420</v>
      </c>
      <c r="O53" s="366">
        <f t="shared" si="5"/>
        <v>237</v>
      </c>
      <c r="P53" s="367"/>
      <c r="Q53" s="59"/>
      <c r="R53" s="60"/>
      <c r="S53" s="60"/>
      <c r="T53" s="60"/>
      <c r="U53" s="60"/>
      <c r="V53" s="60"/>
      <c r="W53" s="60"/>
      <c r="X53" s="60"/>
      <c r="Y53" s="60"/>
      <c r="Z53" s="60"/>
      <c r="AA53" s="60"/>
      <c r="AB53" s="67"/>
      <c r="AC53" s="59"/>
      <c r="AD53" s="60"/>
      <c r="AE53" s="60"/>
      <c r="AF53" s="60"/>
      <c r="AG53" s="60"/>
      <c r="AH53" s="60"/>
      <c r="AI53" s="60"/>
      <c r="AJ53" s="60"/>
      <c r="AK53" s="60"/>
      <c r="AL53" s="60"/>
      <c r="AM53" s="60"/>
      <c r="AN53" s="67"/>
      <c r="AO53" s="59"/>
      <c r="AP53" s="60"/>
      <c r="AQ53" s="60"/>
      <c r="AR53" s="60"/>
      <c r="AS53" s="60"/>
      <c r="AT53" s="60"/>
      <c r="AU53" s="60"/>
      <c r="AV53" s="60"/>
      <c r="AW53" s="60"/>
      <c r="AX53" s="60"/>
      <c r="AY53" s="60"/>
      <c r="AZ53" s="61"/>
      <c r="BA53" s="60"/>
      <c r="BB53" s="60"/>
      <c r="BC53" s="60"/>
      <c r="BD53" s="60"/>
      <c r="BE53" s="60"/>
      <c r="BF53" s="60"/>
      <c r="BG53" s="60"/>
      <c r="BH53" s="60"/>
      <c r="BI53" s="60"/>
      <c r="BJ53" s="60"/>
      <c r="BK53" s="60"/>
      <c r="BL53" s="60"/>
      <c r="BM53" s="60"/>
      <c r="BN53" s="60"/>
      <c r="BO53" s="60"/>
      <c r="BP53" s="60"/>
      <c r="BQ53" s="60"/>
    </row>
    <row r="54" spans="1:81" ht="54.75" customHeight="1" thickBot="1" x14ac:dyDescent="0.3">
      <c r="A54" s="369" t="s">
        <v>375</v>
      </c>
      <c r="B54" s="370" t="s">
        <v>376</v>
      </c>
      <c r="C54" s="371">
        <v>5595769</v>
      </c>
      <c r="D54" s="372" t="s">
        <v>377</v>
      </c>
      <c r="E54" s="373">
        <v>10084300</v>
      </c>
      <c r="F54" s="374"/>
      <c r="G54" s="374"/>
      <c r="H54" s="375">
        <f>E54</f>
        <v>10084300</v>
      </c>
      <c r="I54" s="376">
        <v>45455</v>
      </c>
      <c r="J54" s="376">
        <v>45484</v>
      </c>
      <c r="K54" s="377"/>
      <c r="L54" s="376"/>
      <c r="M54" s="377"/>
      <c r="N54" s="376"/>
      <c r="O54" s="378">
        <f t="shared" si="5"/>
        <v>29</v>
      </c>
      <c r="P54" s="379"/>
      <c r="Q54" s="59"/>
      <c r="R54" s="60"/>
      <c r="S54" s="60"/>
      <c r="T54" s="60"/>
      <c r="U54" s="60"/>
      <c r="V54" s="60"/>
      <c r="W54" s="60"/>
      <c r="X54" s="60"/>
      <c r="Y54" s="60"/>
      <c r="Z54" s="60"/>
      <c r="AA54" s="60"/>
      <c r="AB54" s="67"/>
      <c r="AC54" s="59"/>
      <c r="AD54" s="60"/>
      <c r="AE54" s="60"/>
      <c r="AF54" s="60"/>
      <c r="AG54" s="60"/>
      <c r="AH54" s="60"/>
      <c r="AI54" s="60"/>
      <c r="AJ54" s="60"/>
      <c r="AK54" s="60"/>
      <c r="AL54" s="60"/>
      <c r="AM54" s="60"/>
      <c r="AN54" s="67"/>
      <c r="AO54" s="59"/>
      <c r="AP54" s="60"/>
      <c r="AQ54" s="60"/>
      <c r="AR54" s="60"/>
      <c r="AS54" s="60"/>
      <c r="AT54" s="60"/>
      <c r="AU54" s="60"/>
      <c r="AV54" s="60"/>
      <c r="AW54" s="60"/>
      <c r="AX54" s="60"/>
      <c r="AY54" s="60"/>
      <c r="AZ54" s="61"/>
      <c r="BA54" s="60"/>
      <c r="BB54" s="60"/>
      <c r="BC54" s="60"/>
      <c r="BD54" s="60"/>
      <c r="BE54" s="60"/>
      <c r="BF54" s="60"/>
      <c r="BG54" s="60"/>
      <c r="BH54" s="60"/>
      <c r="BI54" s="60"/>
      <c r="BJ54" s="60"/>
      <c r="BK54" s="60"/>
      <c r="BL54" s="60"/>
      <c r="BM54" s="60"/>
      <c r="BN54" s="60"/>
      <c r="BO54" s="60"/>
      <c r="BP54" s="60"/>
      <c r="BQ54" s="60"/>
    </row>
    <row r="55" spans="1:81" s="20" customFormat="1" ht="79.5" customHeight="1" thickBot="1" x14ac:dyDescent="0.3">
      <c r="A55" s="369" t="s">
        <v>380</v>
      </c>
      <c r="B55" s="380" t="s">
        <v>132</v>
      </c>
      <c r="C55" s="371" t="s">
        <v>378</v>
      </c>
      <c r="D55" s="372" t="s">
        <v>379</v>
      </c>
      <c r="E55" s="381">
        <v>3000000</v>
      </c>
      <c r="F55" s="374"/>
      <c r="G55" s="374"/>
      <c r="H55" s="381">
        <f>E55/3</f>
        <v>1000000</v>
      </c>
      <c r="I55" s="376">
        <v>45455</v>
      </c>
      <c r="J55" s="376">
        <v>45544</v>
      </c>
      <c r="K55" s="377"/>
      <c r="L55" s="376"/>
      <c r="M55" s="377"/>
      <c r="N55" s="376"/>
      <c r="O55" s="378">
        <f t="shared" si="5"/>
        <v>89</v>
      </c>
      <c r="P55" s="379"/>
      <c r="Q55" s="59"/>
      <c r="R55" s="60"/>
      <c r="S55" s="60"/>
      <c r="T55" s="60"/>
      <c r="U55" s="60"/>
      <c r="V55" s="60"/>
      <c r="W55" s="60"/>
      <c r="X55" s="60"/>
      <c r="Y55" s="60"/>
      <c r="Z55" s="60"/>
      <c r="AA55" s="60"/>
      <c r="AB55" s="67"/>
      <c r="AC55" s="59"/>
      <c r="AD55" s="60"/>
      <c r="AE55" s="60"/>
      <c r="AF55" s="60"/>
      <c r="AG55" s="60"/>
      <c r="AH55" s="60"/>
      <c r="AI55" s="60"/>
      <c r="AJ55" s="60"/>
      <c r="AK55" s="60"/>
      <c r="AL55" s="60"/>
      <c r="AM55" s="60"/>
      <c r="AN55" s="67"/>
      <c r="AO55" s="59"/>
      <c r="AP55" s="60"/>
      <c r="AQ55" s="60"/>
      <c r="AR55" s="60"/>
      <c r="AS55" s="60"/>
      <c r="AT55" s="60"/>
      <c r="AU55" s="60"/>
      <c r="AV55" s="60"/>
      <c r="AW55" s="60"/>
      <c r="AX55" s="60"/>
      <c r="AY55" s="60"/>
      <c r="AZ55" s="61"/>
      <c r="BA55" s="60"/>
      <c r="BB55" s="60"/>
      <c r="BC55" s="60"/>
      <c r="BD55" s="60"/>
      <c r="BE55" s="60"/>
      <c r="BF55" s="60"/>
      <c r="BG55" s="60"/>
      <c r="BH55" s="60"/>
      <c r="BI55" s="60"/>
      <c r="BJ55" s="60"/>
      <c r="BK55" s="60"/>
      <c r="BL55" s="60"/>
      <c r="BM55" s="60"/>
      <c r="BN55" s="60"/>
      <c r="BO55" s="60"/>
      <c r="BP55" s="60"/>
      <c r="BQ55" s="60"/>
    </row>
    <row r="56" spans="1:81" s="20" customFormat="1" ht="29.25" customHeight="1" thickBot="1" x14ac:dyDescent="0.3">
      <c r="A56" s="382" t="s">
        <v>381</v>
      </c>
      <c r="B56" s="383" t="s">
        <v>382</v>
      </c>
      <c r="C56" s="384" t="s">
        <v>383</v>
      </c>
      <c r="D56" s="385" t="s">
        <v>12</v>
      </c>
      <c r="E56" s="386">
        <v>9594000</v>
      </c>
      <c r="F56" s="387"/>
      <c r="G56" s="387"/>
      <c r="H56" s="386">
        <f>E56/6</f>
        <v>1599000</v>
      </c>
      <c r="I56" s="388">
        <v>45475</v>
      </c>
      <c r="J56" s="388">
        <v>45657</v>
      </c>
      <c r="K56" s="389" t="s">
        <v>348</v>
      </c>
      <c r="L56" s="390">
        <v>45468</v>
      </c>
      <c r="M56" s="389" t="s">
        <v>400</v>
      </c>
      <c r="N56" s="390">
        <v>45474</v>
      </c>
      <c r="O56" s="391">
        <f t="shared" si="5"/>
        <v>182</v>
      </c>
      <c r="P56" s="392"/>
      <c r="Q56" s="59"/>
      <c r="R56" s="60"/>
      <c r="S56" s="60"/>
      <c r="T56" s="60"/>
      <c r="U56" s="60"/>
      <c r="V56" s="60"/>
      <c r="W56" s="60"/>
      <c r="X56" s="60"/>
      <c r="Y56" s="60"/>
      <c r="Z56" s="60"/>
      <c r="AA56" s="60"/>
      <c r="AB56" s="67"/>
      <c r="AC56" s="59"/>
      <c r="AD56" s="60"/>
      <c r="AE56" s="60"/>
      <c r="AF56" s="60"/>
      <c r="AG56" s="60"/>
      <c r="AH56" s="60"/>
      <c r="AI56" s="60"/>
      <c r="AJ56" s="60"/>
      <c r="AK56" s="60"/>
      <c r="AL56" s="60"/>
      <c r="AM56" s="60"/>
      <c r="AN56" s="67"/>
      <c r="AO56" s="59"/>
      <c r="AP56" s="60"/>
      <c r="AQ56" s="60"/>
      <c r="AR56" s="60"/>
      <c r="AS56" s="60"/>
      <c r="AT56" s="60"/>
      <c r="AU56" s="60"/>
      <c r="AV56" s="60"/>
      <c r="AW56" s="60"/>
      <c r="AX56" s="60"/>
      <c r="AY56" s="60"/>
      <c r="AZ56" s="61"/>
      <c r="BA56" s="60"/>
      <c r="BB56" s="60"/>
      <c r="BC56" s="60"/>
      <c r="BD56" s="60"/>
      <c r="BE56" s="60"/>
      <c r="BF56" s="60"/>
      <c r="BG56" s="60"/>
      <c r="BH56" s="60"/>
      <c r="BI56" s="60"/>
      <c r="BJ56" s="60"/>
      <c r="BK56" s="60"/>
      <c r="BL56" s="60"/>
      <c r="BM56" s="60"/>
      <c r="BN56" s="60"/>
      <c r="BO56" s="60"/>
      <c r="BP56" s="60"/>
      <c r="BQ56" s="60"/>
    </row>
    <row r="57" spans="1:81" s="20" customFormat="1" ht="39" customHeight="1" thickBot="1" x14ac:dyDescent="0.3">
      <c r="A57" s="393" t="s">
        <v>384</v>
      </c>
      <c r="B57" s="383" t="s">
        <v>336</v>
      </c>
      <c r="C57" s="384">
        <v>91178350</v>
      </c>
      <c r="D57" s="394" t="s">
        <v>12</v>
      </c>
      <c r="E57" s="386">
        <v>11400000</v>
      </c>
      <c r="F57" s="387"/>
      <c r="G57" s="387"/>
      <c r="H57" s="386">
        <f>E57/6</f>
        <v>1900000</v>
      </c>
      <c r="I57" s="388">
        <v>45476</v>
      </c>
      <c r="J57" s="388">
        <v>45657</v>
      </c>
      <c r="K57" s="389" t="s">
        <v>398</v>
      </c>
      <c r="L57" s="390">
        <v>45468</v>
      </c>
      <c r="M57" s="389" t="s">
        <v>399</v>
      </c>
      <c r="N57" s="390">
        <v>45474</v>
      </c>
      <c r="O57" s="391">
        <f t="shared" ref="O57:O70" si="6">J57-I57</f>
        <v>181</v>
      </c>
      <c r="P57" s="392"/>
      <c r="Q57" s="59"/>
      <c r="R57" s="60"/>
      <c r="S57" s="60"/>
      <c r="T57" s="60"/>
      <c r="U57" s="60"/>
      <c r="V57" s="60"/>
      <c r="W57" s="60"/>
      <c r="X57" s="60"/>
      <c r="Y57" s="60"/>
      <c r="Z57" s="60"/>
      <c r="AA57" s="60"/>
      <c r="AB57" s="67"/>
      <c r="AC57" s="59"/>
      <c r="AD57" s="60"/>
      <c r="AE57" s="60"/>
      <c r="AF57" s="60"/>
      <c r="AG57" s="60"/>
      <c r="AH57" s="60"/>
      <c r="AI57" s="60"/>
      <c r="AJ57" s="60"/>
      <c r="AK57" s="60"/>
      <c r="AL57" s="60"/>
      <c r="AM57" s="60"/>
      <c r="AN57" s="67"/>
      <c r="AO57" s="59"/>
      <c r="AP57" s="60"/>
      <c r="AQ57" s="60"/>
      <c r="AR57" s="60"/>
      <c r="AS57" s="60"/>
      <c r="AT57" s="60"/>
      <c r="AU57" s="60"/>
      <c r="AV57" s="60"/>
      <c r="AW57" s="60"/>
      <c r="AX57" s="60"/>
      <c r="AY57" s="60"/>
      <c r="AZ57" s="61"/>
      <c r="BA57" s="60"/>
      <c r="BB57" s="60"/>
      <c r="BC57" s="60"/>
      <c r="BD57" s="60"/>
      <c r="BE57" s="60"/>
      <c r="BF57" s="60"/>
      <c r="BG57" s="60"/>
      <c r="BH57" s="60"/>
      <c r="BI57" s="60"/>
      <c r="BJ57" s="60"/>
      <c r="BK57" s="60"/>
      <c r="BL57" s="60"/>
      <c r="BM57" s="60"/>
      <c r="BN57" s="60"/>
      <c r="BO57" s="60"/>
      <c r="BP57" s="60"/>
      <c r="BQ57" s="60"/>
    </row>
    <row r="58" spans="1:81" s="20" customFormat="1" ht="48.75" customHeight="1" thickBot="1" x14ac:dyDescent="0.3">
      <c r="A58" s="393" t="s">
        <v>385</v>
      </c>
      <c r="B58" s="395" t="s">
        <v>295</v>
      </c>
      <c r="C58" s="384">
        <v>1005210936</v>
      </c>
      <c r="D58" s="394" t="s">
        <v>68</v>
      </c>
      <c r="E58" s="386">
        <v>10800000</v>
      </c>
      <c r="F58" s="387"/>
      <c r="G58" s="387"/>
      <c r="H58" s="386">
        <f>E58/6</f>
        <v>1800000</v>
      </c>
      <c r="I58" s="390">
        <v>45478</v>
      </c>
      <c r="J58" s="390">
        <v>45657</v>
      </c>
      <c r="K58" s="389" t="s">
        <v>396</v>
      </c>
      <c r="L58" s="390">
        <v>45468</v>
      </c>
      <c r="M58" s="389" t="s">
        <v>397</v>
      </c>
      <c r="N58" s="390">
        <v>45478</v>
      </c>
      <c r="O58" s="391">
        <f t="shared" si="6"/>
        <v>179</v>
      </c>
      <c r="P58" s="392"/>
      <c r="Q58" s="59"/>
      <c r="R58" s="60"/>
      <c r="S58" s="60"/>
      <c r="T58" s="60"/>
      <c r="U58" s="60"/>
      <c r="V58" s="60"/>
      <c r="W58" s="60"/>
      <c r="X58" s="60"/>
      <c r="Y58" s="60"/>
      <c r="Z58" s="60"/>
      <c r="AA58" s="60"/>
      <c r="AB58" s="67"/>
      <c r="AC58" s="59"/>
      <c r="AD58" s="60"/>
      <c r="AE58" s="60"/>
      <c r="AF58" s="60"/>
      <c r="AG58" s="60"/>
      <c r="AH58" s="60"/>
      <c r="AI58" s="60"/>
      <c r="AJ58" s="60"/>
      <c r="AK58" s="60"/>
      <c r="AL58" s="60"/>
      <c r="AM58" s="60"/>
      <c r="AN58" s="67"/>
      <c r="AO58" s="59"/>
      <c r="AP58" s="60"/>
      <c r="AQ58" s="60"/>
      <c r="AR58" s="60"/>
      <c r="AS58" s="60"/>
      <c r="AT58" s="60"/>
      <c r="AU58" s="60"/>
      <c r="AV58" s="60"/>
      <c r="AW58" s="60"/>
      <c r="AX58" s="60"/>
      <c r="AY58" s="60"/>
      <c r="AZ58" s="61"/>
      <c r="BA58" s="60"/>
      <c r="BB58" s="60"/>
      <c r="BC58" s="60"/>
      <c r="BD58" s="60"/>
      <c r="BE58" s="60"/>
      <c r="BF58" s="60"/>
      <c r="BG58" s="60"/>
      <c r="BH58" s="60"/>
      <c r="BI58" s="60"/>
      <c r="BJ58" s="60"/>
      <c r="BK58" s="60"/>
      <c r="BL58" s="60"/>
      <c r="BM58" s="60"/>
      <c r="BN58" s="60"/>
      <c r="BO58" s="60"/>
      <c r="BP58" s="60"/>
      <c r="BQ58" s="60"/>
    </row>
    <row r="59" spans="1:81" s="20" customFormat="1" ht="99.75" thickBot="1" x14ac:dyDescent="0.35">
      <c r="A59" s="382" t="s">
        <v>386</v>
      </c>
      <c r="B59" s="383" t="s">
        <v>387</v>
      </c>
      <c r="C59" s="396" t="s">
        <v>388</v>
      </c>
      <c r="D59" s="397" t="s">
        <v>389</v>
      </c>
      <c r="E59" s="398">
        <v>1500000</v>
      </c>
      <c r="F59" s="399"/>
      <c r="G59" s="399"/>
      <c r="H59" s="398">
        <f>E59</f>
        <v>1500000</v>
      </c>
      <c r="I59" s="390">
        <v>45489</v>
      </c>
      <c r="J59" s="390">
        <v>45504</v>
      </c>
      <c r="K59" s="400" t="s">
        <v>390</v>
      </c>
      <c r="L59" s="390">
        <v>374200</v>
      </c>
      <c r="M59" s="400" t="s">
        <v>391</v>
      </c>
      <c r="N59" s="390">
        <v>45489</v>
      </c>
      <c r="O59" s="391">
        <f t="shared" si="6"/>
        <v>15</v>
      </c>
      <c r="P59" s="392"/>
      <c r="Q59" s="59"/>
      <c r="R59" s="60"/>
      <c r="S59" s="60"/>
      <c r="T59" s="60"/>
      <c r="U59" s="60"/>
      <c r="V59" s="60"/>
      <c r="W59" s="60"/>
      <c r="X59" s="60"/>
      <c r="Y59" s="60"/>
      <c r="Z59" s="60"/>
      <c r="AA59" s="60"/>
      <c r="AB59" s="67"/>
      <c r="AC59" s="59"/>
      <c r="AD59" s="60"/>
      <c r="AE59" s="60"/>
      <c r="AF59" s="60"/>
      <c r="AG59" s="60"/>
      <c r="AH59" s="60"/>
      <c r="AI59" s="60"/>
      <c r="AJ59" s="60"/>
      <c r="AK59" s="60"/>
      <c r="AL59" s="60"/>
      <c r="AM59" s="60"/>
      <c r="AN59" s="67"/>
      <c r="AO59" s="59"/>
      <c r="AP59" s="60"/>
      <c r="AQ59" s="60"/>
      <c r="AR59" s="60"/>
      <c r="AS59" s="60"/>
      <c r="AT59" s="60"/>
      <c r="AU59" s="60"/>
      <c r="AV59" s="60"/>
      <c r="AW59" s="60"/>
      <c r="AX59" s="60"/>
      <c r="AY59" s="60"/>
      <c r="AZ59" s="61"/>
      <c r="BA59" s="60"/>
      <c r="BB59" s="60"/>
      <c r="BC59" s="60"/>
      <c r="BD59" s="60"/>
      <c r="BE59" s="60"/>
      <c r="BF59" s="60"/>
      <c r="BG59" s="60"/>
      <c r="BH59" s="60"/>
      <c r="BI59" s="60"/>
      <c r="BJ59" s="60"/>
      <c r="BK59" s="60"/>
      <c r="BL59" s="60"/>
      <c r="BM59" s="60"/>
      <c r="BN59" s="60"/>
      <c r="BO59" s="60"/>
      <c r="BP59" s="60"/>
      <c r="BQ59" s="60"/>
    </row>
    <row r="60" spans="1:81" s="20" customFormat="1" ht="77.25" thickBot="1" x14ac:dyDescent="0.3">
      <c r="A60" s="382" t="s">
        <v>401</v>
      </c>
      <c r="B60" s="383" t="s">
        <v>392</v>
      </c>
      <c r="C60" s="396" t="s">
        <v>9</v>
      </c>
      <c r="D60" s="401" t="s">
        <v>393</v>
      </c>
      <c r="E60" s="398">
        <v>15100000</v>
      </c>
      <c r="F60" s="399"/>
      <c r="G60" s="399"/>
      <c r="H60" s="398">
        <f>E60/6</f>
        <v>2516666.6666666665</v>
      </c>
      <c r="I60" s="388">
        <v>45489</v>
      </c>
      <c r="J60" s="390">
        <v>45657</v>
      </c>
      <c r="K60" s="400" t="s">
        <v>394</v>
      </c>
      <c r="L60" s="390">
        <v>45482</v>
      </c>
      <c r="M60" s="400" t="s">
        <v>395</v>
      </c>
      <c r="N60" s="390">
        <v>45489</v>
      </c>
      <c r="O60" s="391">
        <f t="shared" si="6"/>
        <v>168</v>
      </c>
      <c r="P60" s="392"/>
      <c r="Q60" s="68"/>
      <c r="R60" s="60"/>
      <c r="S60" s="60"/>
      <c r="T60" s="60"/>
      <c r="U60" s="60"/>
      <c r="V60" s="60"/>
      <c r="W60" s="62"/>
      <c r="X60" s="60"/>
      <c r="Y60" s="60"/>
      <c r="Z60" s="60"/>
      <c r="AA60" s="60"/>
      <c r="AB60" s="67"/>
      <c r="AC60" s="68"/>
      <c r="AD60" s="60"/>
      <c r="AE60" s="60"/>
      <c r="AF60" s="60"/>
      <c r="AG60" s="60"/>
      <c r="AH60" s="60"/>
      <c r="AI60" s="62"/>
      <c r="AJ60" s="60"/>
      <c r="AK60" s="60"/>
      <c r="AL60" s="60"/>
      <c r="AM60" s="60"/>
      <c r="AN60" s="67"/>
      <c r="AO60" s="68"/>
      <c r="AP60" s="60"/>
      <c r="AQ60" s="60"/>
      <c r="AR60" s="60"/>
      <c r="AS60" s="60"/>
      <c r="AT60" s="60"/>
      <c r="AU60" s="62"/>
      <c r="AV60" s="60"/>
      <c r="AW60" s="60"/>
      <c r="AX60" s="60"/>
      <c r="AY60" s="60"/>
      <c r="AZ60" s="61"/>
      <c r="BA60" s="60"/>
      <c r="BB60" s="60"/>
      <c r="BC60" s="60"/>
      <c r="BD60" s="60"/>
      <c r="BE60" s="62"/>
      <c r="BF60" s="60"/>
      <c r="BG60" s="60"/>
      <c r="BH60" s="60"/>
      <c r="BI60" s="60"/>
      <c r="BJ60" s="60"/>
      <c r="BK60" s="62"/>
      <c r="BL60" s="60"/>
      <c r="BM60" s="60"/>
      <c r="BN60" s="60"/>
      <c r="BO60" s="60"/>
      <c r="BP60" s="60"/>
      <c r="BQ60" s="60"/>
      <c r="BW60" s="21"/>
      <c r="CC60" s="21"/>
    </row>
    <row r="61" spans="1:81" s="22" customFormat="1" ht="66" customHeight="1" thickBot="1" x14ac:dyDescent="0.3">
      <c r="A61" s="402" t="s">
        <v>402</v>
      </c>
      <c r="B61" s="403" t="s">
        <v>292</v>
      </c>
      <c r="C61" s="404">
        <v>91157893</v>
      </c>
      <c r="D61" s="429" t="s">
        <v>293</v>
      </c>
      <c r="E61" s="405">
        <v>42600000</v>
      </c>
      <c r="F61" s="406"/>
      <c r="G61" s="406"/>
      <c r="H61" s="405">
        <f>E61/6</f>
        <v>7100000</v>
      </c>
      <c r="I61" s="407">
        <v>45505</v>
      </c>
      <c r="J61" s="408">
        <v>45657</v>
      </c>
      <c r="K61" s="409" t="s">
        <v>406</v>
      </c>
      <c r="L61" s="408">
        <v>45496</v>
      </c>
      <c r="M61" s="409" t="s">
        <v>407</v>
      </c>
      <c r="N61" s="408">
        <v>45505</v>
      </c>
      <c r="O61" s="410">
        <f t="shared" si="6"/>
        <v>152</v>
      </c>
      <c r="P61" s="411"/>
      <c r="Q61" s="69"/>
      <c r="R61" s="63"/>
      <c r="S61" s="63"/>
      <c r="T61" s="63"/>
      <c r="U61" s="63"/>
      <c r="V61" s="63"/>
      <c r="W61" s="65"/>
      <c r="X61" s="63"/>
      <c r="Y61" s="63"/>
      <c r="Z61" s="63"/>
      <c r="AA61" s="63"/>
      <c r="AB61" s="70"/>
      <c r="AC61" s="69"/>
      <c r="AD61" s="63"/>
      <c r="AE61" s="63"/>
      <c r="AF61" s="63"/>
      <c r="AG61" s="63"/>
      <c r="AH61" s="63"/>
      <c r="AI61" s="65"/>
      <c r="AJ61" s="63"/>
      <c r="AK61" s="63"/>
      <c r="AL61" s="63"/>
      <c r="AM61" s="63"/>
      <c r="AN61" s="70"/>
      <c r="AO61" s="69"/>
      <c r="AP61" s="63"/>
      <c r="AQ61" s="63"/>
      <c r="AR61" s="63"/>
      <c r="AS61" s="63"/>
      <c r="AT61" s="63"/>
      <c r="AU61" s="65"/>
      <c r="AV61" s="63"/>
      <c r="AW61" s="63"/>
      <c r="AX61" s="63"/>
      <c r="AY61" s="63"/>
      <c r="AZ61" s="64"/>
      <c r="BA61" s="63"/>
      <c r="BB61" s="63"/>
      <c r="BC61" s="63"/>
      <c r="BD61" s="63"/>
      <c r="BE61" s="65"/>
      <c r="BF61" s="63"/>
      <c r="BG61" s="63"/>
      <c r="BH61" s="63"/>
      <c r="BI61" s="63"/>
      <c r="BJ61" s="63"/>
      <c r="BK61" s="65"/>
      <c r="BL61" s="63"/>
      <c r="BM61" s="63"/>
      <c r="BN61" s="63"/>
      <c r="BO61" s="63"/>
      <c r="BP61" s="63"/>
      <c r="BQ61" s="62"/>
      <c r="BW61" s="23"/>
      <c r="CC61" s="23"/>
    </row>
    <row r="62" spans="1:81" s="20" customFormat="1" ht="81.75" customHeight="1" thickBot="1" x14ac:dyDescent="0.3">
      <c r="A62" s="412" t="s">
        <v>403</v>
      </c>
      <c r="B62" s="430" t="s">
        <v>364</v>
      </c>
      <c r="C62" s="413">
        <v>1095834100</v>
      </c>
      <c r="D62" s="414" t="s">
        <v>404</v>
      </c>
      <c r="E62" s="405">
        <v>10000000</v>
      </c>
      <c r="F62" s="406"/>
      <c r="G62" s="406"/>
      <c r="H62" s="405">
        <f t="shared" ref="H62:H68" si="7">E62/5</f>
        <v>2000000</v>
      </c>
      <c r="I62" s="407">
        <v>45513</v>
      </c>
      <c r="J62" s="408">
        <v>45646</v>
      </c>
      <c r="K62" s="409" t="s">
        <v>408</v>
      </c>
      <c r="L62" s="408">
        <v>45513</v>
      </c>
      <c r="M62" s="409" t="s">
        <v>409</v>
      </c>
      <c r="N62" s="408">
        <v>45520</v>
      </c>
      <c r="O62" s="410">
        <f t="shared" si="6"/>
        <v>133</v>
      </c>
      <c r="P62" s="411"/>
      <c r="Q62" s="68"/>
      <c r="R62" s="60"/>
      <c r="S62" s="60"/>
      <c r="T62" s="60"/>
      <c r="U62" s="60"/>
      <c r="V62" s="60"/>
      <c r="W62" s="62"/>
      <c r="X62" s="60"/>
      <c r="Y62" s="60"/>
      <c r="Z62" s="60"/>
      <c r="AA62" s="60"/>
      <c r="AB62" s="67"/>
      <c r="AC62" s="68"/>
      <c r="AD62" s="60"/>
      <c r="AE62" s="60"/>
      <c r="AF62" s="60"/>
      <c r="AG62" s="60"/>
      <c r="AH62" s="60"/>
      <c r="AI62" s="62"/>
      <c r="AJ62" s="60"/>
      <c r="AK62" s="60"/>
      <c r="AL62" s="60"/>
      <c r="AM62" s="60"/>
      <c r="AN62" s="67"/>
      <c r="AO62" s="68"/>
      <c r="AP62" s="60"/>
      <c r="AQ62" s="60"/>
      <c r="AR62" s="60"/>
      <c r="AS62" s="60"/>
      <c r="AT62" s="60"/>
      <c r="AU62" s="62"/>
      <c r="AV62" s="60"/>
      <c r="AW62" s="60"/>
      <c r="AX62" s="60"/>
      <c r="AY62" s="60"/>
      <c r="AZ62" s="61"/>
      <c r="BA62" s="60"/>
      <c r="BB62" s="60"/>
      <c r="BC62" s="60"/>
      <c r="BD62" s="60"/>
      <c r="BE62" s="62"/>
      <c r="BF62" s="60"/>
      <c r="BG62" s="60"/>
      <c r="BH62" s="60"/>
      <c r="BI62" s="60"/>
      <c r="BJ62" s="60"/>
      <c r="BK62" s="62"/>
      <c r="BL62" s="60"/>
      <c r="BM62" s="60"/>
      <c r="BN62" s="60"/>
      <c r="BO62" s="60"/>
      <c r="BP62" s="60"/>
      <c r="BQ62" s="65"/>
      <c r="BW62" s="21"/>
      <c r="CC62" s="21"/>
    </row>
    <row r="63" spans="1:81" s="20" customFormat="1" ht="91.5" customHeight="1" thickBot="1" x14ac:dyDescent="0.3">
      <c r="A63" s="412" t="s">
        <v>412</v>
      </c>
      <c r="B63" s="403" t="s">
        <v>345</v>
      </c>
      <c r="C63" s="413">
        <v>1098739191</v>
      </c>
      <c r="D63" s="415" t="s">
        <v>405</v>
      </c>
      <c r="E63" s="405">
        <v>9000000</v>
      </c>
      <c r="F63" s="416"/>
      <c r="G63" s="416"/>
      <c r="H63" s="417">
        <f t="shared" si="7"/>
        <v>1800000</v>
      </c>
      <c r="I63" s="407">
        <v>45513</v>
      </c>
      <c r="J63" s="408">
        <v>45646</v>
      </c>
      <c r="K63" s="409" t="s">
        <v>410</v>
      </c>
      <c r="L63" s="408">
        <v>45513</v>
      </c>
      <c r="M63" s="409" t="s">
        <v>411</v>
      </c>
      <c r="N63" s="408">
        <v>45520</v>
      </c>
      <c r="O63" s="410">
        <f t="shared" si="6"/>
        <v>133</v>
      </c>
      <c r="P63" s="411"/>
      <c r="Q63" s="68"/>
      <c r="R63" s="60"/>
      <c r="S63" s="60"/>
      <c r="T63" s="60"/>
      <c r="U63" s="60"/>
      <c r="V63" s="60"/>
      <c r="W63" s="62"/>
      <c r="X63" s="60"/>
      <c r="Y63" s="60"/>
      <c r="Z63" s="60"/>
      <c r="AA63" s="60"/>
      <c r="AB63" s="67"/>
      <c r="AC63" s="68"/>
      <c r="AD63" s="60"/>
      <c r="AE63" s="60"/>
      <c r="AF63" s="60"/>
      <c r="AG63" s="60"/>
      <c r="AH63" s="60"/>
      <c r="AI63" s="62"/>
      <c r="AJ63" s="60"/>
      <c r="AK63" s="60"/>
      <c r="AL63" s="60"/>
      <c r="AM63" s="60"/>
      <c r="AN63" s="67"/>
      <c r="AO63" s="68"/>
      <c r="AP63" s="60"/>
      <c r="AQ63" s="60"/>
      <c r="AR63" s="60"/>
      <c r="AS63" s="60"/>
      <c r="AT63" s="60"/>
      <c r="AU63" s="62"/>
      <c r="AV63" s="60"/>
      <c r="AW63" s="60"/>
      <c r="AX63" s="60"/>
      <c r="AY63" s="60"/>
      <c r="AZ63" s="61"/>
      <c r="BA63" s="60"/>
      <c r="BB63" s="60"/>
      <c r="BC63" s="60"/>
      <c r="BD63" s="60"/>
      <c r="BE63" s="62"/>
      <c r="BF63" s="60"/>
      <c r="BG63" s="60"/>
      <c r="BH63" s="60"/>
      <c r="BI63" s="60"/>
      <c r="BJ63" s="60"/>
      <c r="BK63" s="62"/>
      <c r="BL63" s="60"/>
      <c r="BM63" s="60"/>
      <c r="BN63" s="60"/>
      <c r="BO63" s="60"/>
      <c r="BP63" s="60"/>
      <c r="BQ63" s="62"/>
      <c r="BW63" s="21"/>
      <c r="CC63" s="21"/>
    </row>
    <row r="64" spans="1:81" s="20" customFormat="1" ht="90" thickBot="1" x14ac:dyDescent="0.3">
      <c r="A64" s="412" t="s">
        <v>413</v>
      </c>
      <c r="B64" s="418" t="s">
        <v>414</v>
      </c>
      <c r="C64" s="404">
        <v>1098742549</v>
      </c>
      <c r="D64" s="431" t="s">
        <v>415</v>
      </c>
      <c r="E64" s="405">
        <v>6000000</v>
      </c>
      <c r="F64" s="416"/>
      <c r="G64" s="416"/>
      <c r="H64" s="419">
        <f t="shared" si="7"/>
        <v>1200000</v>
      </c>
      <c r="I64" s="420">
        <v>45526</v>
      </c>
      <c r="J64" s="408">
        <v>45646</v>
      </c>
      <c r="K64" s="409" t="s">
        <v>416</v>
      </c>
      <c r="L64" s="421">
        <v>45513</v>
      </c>
      <c r="M64" s="409" t="s">
        <v>417</v>
      </c>
      <c r="N64" s="421">
        <v>45526</v>
      </c>
      <c r="O64" s="410">
        <f t="shared" si="6"/>
        <v>120</v>
      </c>
      <c r="P64" s="411"/>
      <c r="Q64" s="68"/>
      <c r="R64" s="60"/>
      <c r="S64" s="60"/>
      <c r="T64" s="60"/>
      <c r="U64" s="60"/>
      <c r="V64" s="60"/>
      <c r="W64" s="62"/>
      <c r="X64" s="60"/>
      <c r="Y64" s="60"/>
      <c r="Z64" s="60"/>
      <c r="AA64" s="60"/>
      <c r="AB64" s="67"/>
      <c r="AC64" s="68"/>
      <c r="AD64" s="60"/>
      <c r="AE64" s="60"/>
      <c r="AF64" s="60"/>
      <c r="AG64" s="60"/>
      <c r="AH64" s="60"/>
      <c r="AI64" s="62"/>
      <c r="AJ64" s="60"/>
      <c r="AK64" s="60"/>
      <c r="AL64" s="60"/>
      <c r="AM64" s="60"/>
      <c r="AN64" s="67"/>
      <c r="AO64" s="68"/>
      <c r="AP64" s="60"/>
      <c r="AQ64" s="60"/>
      <c r="AR64" s="60"/>
      <c r="AS64" s="60"/>
      <c r="AT64" s="60"/>
      <c r="AU64" s="62"/>
      <c r="AV64" s="60"/>
      <c r="AW64" s="60"/>
      <c r="AX64" s="60"/>
      <c r="AY64" s="60"/>
      <c r="AZ64" s="61"/>
      <c r="BA64" s="60"/>
      <c r="BB64" s="60"/>
      <c r="BC64" s="60"/>
      <c r="BD64" s="60"/>
      <c r="BE64" s="62"/>
      <c r="BF64" s="60"/>
      <c r="BG64" s="60"/>
      <c r="BH64" s="60"/>
      <c r="BI64" s="60"/>
      <c r="BJ64" s="60"/>
      <c r="BK64" s="62"/>
      <c r="BL64" s="60"/>
      <c r="BM64" s="60"/>
      <c r="BN64" s="60"/>
      <c r="BO64" s="60"/>
      <c r="BP64" s="60"/>
      <c r="BQ64" s="62"/>
      <c r="BW64" s="21"/>
      <c r="CC64" s="21"/>
    </row>
    <row r="65" spans="1:81" s="20" customFormat="1" ht="116.25" thickBot="1" x14ac:dyDescent="0.3">
      <c r="A65" s="412" t="s">
        <v>418</v>
      </c>
      <c r="B65" s="418" t="s">
        <v>257</v>
      </c>
      <c r="C65" s="422" t="s">
        <v>130</v>
      </c>
      <c r="D65" s="432" t="s">
        <v>419</v>
      </c>
      <c r="E65" s="423">
        <v>18000000</v>
      </c>
      <c r="F65" s="406"/>
      <c r="G65" s="406"/>
      <c r="H65" s="405">
        <f t="shared" si="7"/>
        <v>3600000</v>
      </c>
      <c r="I65" s="420">
        <v>45526</v>
      </c>
      <c r="J65" s="408">
        <v>45646</v>
      </c>
      <c r="K65" s="409" t="s">
        <v>420</v>
      </c>
      <c r="L65" s="421">
        <v>45513</v>
      </c>
      <c r="M65" s="409" t="s">
        <v>421</v>
      </c>
      <c r="N65" s="421">
        <v>45526</v>
      </c>
      <c r="O65" s="410">
        <f t="shared" si="6"/>
        <v>120</v>
      </c>
      <c r="P65" s="424"/>
      <c r="Q65" s="68"/>
      <c r="R65" s="60"/>
      <c r="S65" s="60"/>
      <c r="T65" s="60"/>
      <c r="U65" s="60"/>
      <c r="V65" s="60"/>
      <c r="W65" s="62"/>
      <c r="X65" s="60"/>
      <c r="Y65" s="60"/>
      <c r="Z65" s="60"/>
      <c r="AA65" s="60"/>
      <c r="AB65" s="67"/>
      <c r="AC65" s="68"/>
      <c r="AD65" s="60"/>
      <c r="AE65" s="60"/>
      <c r="AF65" s="60"/>
      <c r="AG65" s="60"/>
      <c r="AH65" s="60"/>
      <c r="AI65" s="62"/>
      <c r="AJ65" s="60"/>
      <c r="AK65" s="60"/>
      <c r="AL65" s="60"/>
      <c r="AM65" s="60"/>
      <c r="AN65" s="67"/>
      <c r="AO65" s="68"/>
      <c r="AP65" s="60"/>
      <c r="AQ65" s="60"/>
      <c r="AR65" s="60"/>
      <c r="AS65" s="60"/>
      <c r="AT65" s="60"/>
      <c r="AU65" s="62"/>
      <c r="AV65" s="60"/>
      <c r="AW65" s="60"/>
      <c r="AX65" s="60"/>
      <c r="AY65" s="60"/>
      <c r="AZ65" s="61"/>
      <c r="BA65" s="60"/>
      <c r="BB65" s="60"/>
      <c r="BC65" s="60"/>
      <c r="BD65" s="60"/>
      <c r="BE65" s="62"/>
      <c r="BF65" s="60"/>
      <c r="BG65" s="60"/>
      <c r="BH65" s="60"/>
      <c r="BI65" s="60"/>
      <c r="BJ65" s="60"/>
      <c r="BK65" s="62"/>
      <c r="BL65" s="60"/>
      <c r="BM65" s="60"/>
      <c r="BN65" s="60"/>
      <c r="BO65" s="60"/>
      <c r="BP65" s="60"/>
      <c r="BQ65" s="62"/>
      <c r="BW65" s="21"/>
      <c r="CC65" s="21"/>
    </row>
    <row r="66" spans="1:81" s="20" customFormat="1" ht="132.75" thickBot="1" x14ac:dyDescent="0.3">
      <c r="A66" s="412" t="s">
        <v>422</v>
      </c>
      <c r="B66" s="426" t="s">
        <v>423</v>
      </c>
      <c r="C66" s="428" t="s">
        <v>424</v>
      </c>
      <c r="D66" s="433" t="s">
        <v>425</v>
      </c>
      <c r="E66" s="423">
        <v>7000000</v>
      </c>
      <c r="F66" s="406"/>
      <c r="G66" s="406"/>
      <c r="H66" s="425">
        <f t="shared" si="7"/>
        <v>1400000</v>
      </c>
      <c r="I66" s="420">
        <v>45526</v>
      </c>
      <c r="J66" s="408">
        <v>45646</v>
      </c>
      <c r="K66" s="409" t="s">
        <v>426</v>
      </c>
      <c r="L66" s="421">
        <v>45513</v>
      </c>
      <c r="M66" s="409" t="s">
        <v>427</v>
      </c>
      <c r="N66" s="421">
        <v>45526</v>
      </c>
      <c r="O66" s="410">
        <f t="shared" si="6"/>
        <v>120</v>
      </c>
      <c r="P66" s="424"/>
      <c r="Q66" s="68"/>
      <c r="R66" s="60"/>
      <c r="S66" s="60"/>
      <c r="T66" s="60"/>
      <c r="U66" s="60"/>
      <c r="V66" s="60"/>
      <c r="W66" s="62"/>
      <c r="X66" s="60"/>
      <c r="Y66" s="60"/>
      <c r="Z66" s="60"/>
      <c r="AA66" s="60"/>
      <c r="AB66" s="67"/>
      <c r="AC66" s="68"/>
      <c r="AD66" s="60"/>
      <c r="AE66" s="60"/>
      <c r="AF66" s="60"/>
      <c r="AG66" s="60"/>
      <c r="AH66" s="60"/>
      <c r="AI66" s="62"/>
      <c r="AJ66" s="60"/>
      <c r="AK66" s="60"/>
      <c r="AL66" s="60"/>
      <c r="AM66" s="60"/>
      <c r="AN66" s="67"/>
      <c r="AO66" s="68"/>
      <c r="AP66" s="60"/>
      <c r="AQ66" s="60"/>
      <c r="AR66" s="60"/>
      <c r="AS66" s="60"/>
      <c r="AT66" s="60"/>
      <c r="AU66" s="62"/>
      <c r="AV66" s="60"/>
      <c r="AW66" s="60"/>
      <c r="AX66" s="60"/>
      <c r="AY66" s="60"/>
      <c r="AZ66" s="61"/>
      <c r="BA66" s="60"/>
      <c r="BB66" s="60"/>
      <c r="BC66" s="60"/>
      <c r="BD66" s="60"/>
      <c r="BE66" s="62"/>
      <c r="BF66" s="60"/>
      <c r="BG66" s="60"/>
      <c r="BH66" s="60"/>
      <c r="BI66" s="60"/>
      <c r="BJ66" s="60"/>
      <c r="BK66" s="62"/>
      <c r="BL66" s="60"/>
      <c r="BM66" s="60"/>
      <c r="BN66" s="60"/>
      <c r="BO66" s="60"/>
      <c r="BP66" s="60"/>
      <c r="BQ66" s="62"/>
      <c r="BW66" s="21"/>
      <c r="CC66" s="21"/>
    </row>
    <row r="67" spans="1:81" s="20" customFormat="1" ht="132.75" thickBot="1" x14ac:dyDescent="0.3">
      <c r="A67" s="412" t="s">
        <v>428</v>
      </c>
      <c r="B67" s="426" t="s">
        <v>429</v>
      </c>
      <c r="C67" s="427" t="s">
        <v>430</v>
      </c>
      <c r="D67" s="433" t="s">
        <v>431</v>
      </c>
      <c r="E67" s="423">
        <v>7000000</v>
      </c>
      <c r="F67" s="406"/>
      <c r="G67" s="406"/>
      <c r="H67" s="425">
        <f t="shared" si="7"/>
        <v>1400000</v>
      </c>
      <c r="I67" s="420">
        <v>45527</v>
      </c>
      <c r="J67" s="408">
        <v>45646</v>
      </c>
      <c r="K67" s="409" t="s">
        <v>432</v>
      </c>
      <c r="L67" s="421">
        <v>45513</v>
      </c>
      <c r="M67" s="409" t="s">
        <v>433</v>
      </c>
      <c r="N67" s="421">
        <v>45527</v>
      </c>
      <c r="O67" s="410">
        <f t="shared" si="6"/>
        <v>119</v>
      </c>
      <c r="P67" s="424"/>
      <c r="Q67" s="68"/>
      <c r="R67" s="60"/>
      <c r="S67" s="60"/>
      <c r="T67" s="60"/>
      <c r="U67" s="60"/>
      <c r="V67" s="60"/>
      <c r="W67" s="62"/>
      <c r="X67" s="60"/>
      <c r="Y67" s="60"/>
      <c r="Z67" s="60"/>
      <c r="AA67" s="60"/>
      <c r="AB67" s="67"/>
      <c r="AC67" s="68"/>
      <c r="AD67" s="60"/>
      <c r="AE67" s="60"/>
      <c r="AF67" s="60"/>
      <c r="AG67" s="60"/>
      <c r="AH67" s="60"/>
      <c r="AI67" s="62"/>
      <c r="AJ67" s="60"/>
      <c r="AK67" s="60"/>
      <c r="AL67" s="60"/>
      <c r="AM67" s="60"/>
      <c r="AN67" s="67"/>
      <c r="AO67" s="68"/>
      <c r="AP67" s="60"/>
      <c r="AQ67" s="60"/>
      <c r="AR67" s="60"/>
      <c r="AS67" s="60"/>
      <c r="AT67" s="60"/>
      <c r="AU67" s="62"/>
      <c r="AV67" s="60"/>
      <c r="AW67" s="60"/>
      <c r="AX67" s="60"/>
      <c r="AY67" s="60"/>
      <c r="AZ67" s="61"/>
      <c r="BA67" s="60"/>
      <c r="BB67" s="60"/>
      <c r="BC67" s="60"/>
      <c r="BD67" s="60"/>
      <c r="BE67" s="62"/>
      <c r="BF67" s="60"/>
      <c r="BG67" s="60"/>
      <c r="BH67" s="60"/>
      <c r="BI67" s="60"/>
      <c r="BJ67" s="60"/>
      <c r="BK67" s="62"/>
      <c r="BL67" s="60"/>
      <c r="BM67" s="60"/>
      <c r="BN67" s="60"/>
      <c r="BO67" s="60"/>
      <c r="BP67" s="60"/>
      <c r="BQ67" s="62"/>
      <c r="BW67" s="21"/>
      <c r="CC67" s="21"/>
    </row>
    <row r="68" spans="1:81" s="20" customFormat="1" ht="132.75" thickBot="1" x14ac:dyDescent="0.3">
      <c r="A68" s="412" t="s">
        <v>434</v>
      </c>
      <c r="B68" s="418" t="s">
        <v>435</v>
      </c>
      <c r="C68" s="413" t="s">
        <v>436</v>
      </c>
      <c r="D68" s="433" t="s">
        <v>437</v>
      </c>
      <c r="E68" s="405">
        <v>10000000</v>
      </c>
      <c r="F68" s="406"/>
      <c r="G68" s="406"/>
      <c r="H68" s="405">
        <f t="shared" si="7"/>
        <v>2000000</v>
      </c>
      <c r="I68" s="407">
        <v>45531</v>
      </c>
      <c r="J68" s="407">
        <v>45646</v>
      </c>
      <c r="K68" s="409" t="s">
        <v>438</v>
      </c>
      <c r="L68" s="421">
        <v>45513</v>
      </c>
      <c r="M68" s="409" t="s">
        <v>439</v>
      </c>
      <c r="N68" s="421">
        <v>45531</v>
      </c>
      <c r="O68" s="410">
        <f t="shared" si="6"/>
        <v>115</v>
      </c>
      <c r="P68" s="411"/>
      <c r="Q68" s="68"/>
      <c r="R68" s="60"/>
      <c r="S68" s="60"/>
      <c r="T68" s="60"/>
      <c r="U68" s="60"/>
      <c r="V68" s="60"/>
      <c r="W68" s="62"/>
      <c r="X68" s="60"/>
      <c r="Y68" s="60"/>
      <c r="Z68" s="60"/>
      <c r="AA68" s="60"/>
      <c r="AB68" s="67"/>
      <c r="AC68" s="68"/>
      <c r="AD68" s="60"/>
      <c r="AE68" s="60"/>
      <c r="AF68" s="60"/>
      <c r="AG68" s="60"/>
      <c r="AH68" s="60"/>
      <c r="AI68" s="62"/>
      <c r="AJ68" s="60"/>
      <c r="AK68" s="60"/>
      <c r="AL68" s="60"/>
      <c r="AM68" s="60"/>
      <c r="AN68" s="67"/>
      <c r="AO68" s="68"/>
      <c r="AP68" s="60"/>
      <c r="AQ68" s="60"/>
      <c r="AR68" s="60"/>
      <c r="AS68" s="60"/>
      <c r="AT68" s="60"/>
      <c r="AU68" s="62"/>
      <c r="AV68" s="60"/>
      <c r="AW68" s="60"/>
      <c r="AX68" s="60"/>
      <c r="AY68" s="60"/>
      <c r="AZ68" s="61"/>
      <c r="BA68" s="60"/>
      <c r="BB68" s="60"/>
      <c r="BC68" s="60"/>
      <c r="BD68" s="60"/>
      <c r="BE68" s="62"/>
      <c r="BF68" s="60"/>
      <c r="BG68" s="60"/>
      <c r="BH68" s="60"/>
      <c r="BI68" s="60"/>
      <c r="BJ68" s="60"/>
      <c r="BK68" s="62"/>
      <c r="BL68" s="60"/>
      <c r="BM68" s="60"/>
      <c r="BN68" s="60"/>
      <c r="BO68" s="60"/>
      <c r="BP68" s="60"/>
      <c r="BQ68" s="62"/>
      <c r="BW68" s="21"/>
      <c r="CC68" s="21"/>
    </row>
    <row r="69" spans="1:81" s="20" customFormat="1" ht="54.75" customHeight="1" thickBot="1" x14ac:dyDescent="0.3">
      <c r="A69" s="440" t="s">
        <v>440</v>
      </c>
      <c r="B69" s="447" t="s">
        <v>289</v>
      </c>
      <c r="C69" s="442">
        <v>1091668921</v>
      </c>
      <c r="D69" s="447" t="s">
        <v>290</v>
      </c>
      <c r="E69" s="443">
        <v>5000000</v>
      </c>
      <c r="F69" s="444"/>
      <c r="G69" s="444"/>
      <c r="H69" s="443">
        <f>E69/4</f>
        <v>1250000</v>
      </c>
      <c r="I69" s="438">
        <v>45538</v>
      </c>
      <c r="J69" s="439">
        <v>45657</v>
      </c>
      <c r="K69" s="440" t="s">
        <v>447</v>
      </c>
      <c r="L69" s="441">
        <v>45532</v>
      </c>
      <c r="M69" s="440" t="s">
        <v>448</v>
      </c>
      <c r="N69" s="441">
        <v>45538</v>
      </c>
      <c r="O69" s="445">
        <f t="shared" si="6"/>
        <v>119</v>
      </c>
      <c r="P69" s="446"/>
      <c r="Q69" s="68"/>
      <c r="R69" s="60"/>
      <c r="S69" s="60"/>
      <c r="T69" s="60"/>
      <c r="U69" s="60"/>
      <c r="V69" s="60"/>
      <c r="W69" s="62"/>
      <c r="X69" s="60"/>
      <c r="Y69" s="60"/>
      <c r="Z69" s="60"/>
      <c r="AA69" s="60"/>
      <c r="AB69" s="67"/>
      <c r="AC69" s="68"/>
      <c r="AD69" s="60"/>
      <c r="AE69" s="60"/>
      <c r="AF69" s="60"/>
      <c r="AG69" s="60"/>
      <c r="AH69" s="60"/>
      <c r="AI69" s="62"/>
      <c r="AJ69" s="60"/>
      <c r="AK69" s="60"/>
      <c r="AL69" s="60"/>
      <c r="AM69" s="60"/>
      <c r="AN69" s="67"/>
      <c r="AO69" s="68"/>
      <c r="AP69" s="60"/>
      <c r="AQ69" s="60"/>
      <c r="AR69" s="60"/>
      <c r="AS69" s="60"/>
      <c r="AT69" s="60"/>
      <c r="AU69" s="62"/>
      <c r="AV69" s="60"/>
      <c r="AW69" s="60"/>
      <c r="AX69" s="60"/>
      <c r="AY69" s="60"/>
      <c r="AZ69" s="61"/>
      <c r="BA69" s="60"/>
      <c r="BB69" s="60"/>
      <c r="BC69" s="60"/>
      <c r="BD69" s="60"/>
      <c r="BE69" s="62"/>
      <c r="BF69" s="60"/>
      <c r="BG69" s="60"/>
      <c r="BH69" s="60"/>
      <c r="BI69" s="60"/>
      <c r="BJ69" s="60"/>
      <c r="BK69" s="62"/>
      <c r="BL69" s="60"/>
      <c r="BM69" s="60"/>
      <c r="BN69" s="60"/>
      <c r="BO69" s="60"/>
      <c r="BP69" s="60"/>
      <c r="BQ69" s="62"/>
      <c r="BW69" s="21"/>
      <c r="CC69" s="21"/>
    </row>
    <row r="70" spans="1:81" s="20" customFormat="1" ht="71.25" customHeight="1" thickBot="1" x14ac:dyDescent="0.3">
      <c r="A70" s="440" t="s">
        <v>441</v>
      </c>
      <c r="B70" s="447" t="s">
        <v>387</v>
      </c>
      <c r="C70" s="442" t="s">
        <v>388</v>
      </c>
      <c r="D70" s="447" t="s">
        <v>442</v>
      </c>
      <c r="E70" s="448">
        <v>8400000</v>
      </c>
      <c r="F70" s="444"/>
      <c r="G70" s="444"/>
      <c r="H70" s="443">
        <f>E70/4</f>
        <v>2100000</v>
      </c>
      <c r="I70" s="439">
        <v>45541</v>
      </c>
      <c r="J70" s="439">
        <v>45657</v>
      </c>
      <c r="K70" s="434" t="s">
        <v>449</v>
      </c>
      <c r="L70" s="435">
        <v>45534</v>
      </c>
      <c r="M70" s="434" t="s">
        <v>450</v>
      </c>
      <c r="N70" s="435">
        <v>45541</v>
      </c>
      <c r="O70" s="436">
        <f t="shared" si="6"/>
        <v>116</v>
      </c>
      <c r="P70" s="437"/>
      <c r="Q70" s="68"/>
      <c r="R70" s="60"/>
      <c r="S70" s="60"/>
      <c r="T70" s="60"/>
      <c r="U70" s="60"/>
      <c r="V70" s="60"/>
      <c r="W70" s="62"/>
      <c r="X70" s="60"/>
      <c r="Y70" s="60"/>
      <c r="Z70" s="60"/>
      <c r="AA70" s="60"/>
      <c r="AB70" s="67"/>
      <c r="AC70" s="68"/>
      <c r="AD70" s="60"/>
      <c r="AE70" s="60"/>
      <c r="AF70" s="60"/>
      <c r="AG70" s="60"/>
      <c r="AH70" s="60"/>
      <c r="AI70" s="62"/>
      <c r="AJ70" s="60"/>
      <c r="AK70" s="60"/>
      <c r="AL70" s="60"/>
      <c r="AM70" s="60"/>
      <c r="AN70" s="67"/>
      <c r="AO70" s="68"/>
      <c r="AP70" s="60"/>
      <c r="AQ70" s="60"/>
      <c r="AR70" s="60"/>
      <c r="AS70" s="60"/>
      <c r="AT70" s="60"/>
      <c r="AU70" s="62"/>
      <c r="AV70" s="60"/>
      <c r="AW70" s="60"/>
      <c r="AX70" s="60"/>
      <c r="AY70" s="60"/>
      <c r="AZ70" s="61"/>
      <c r="BA70" s="60"/>
      <c r="BB70" s="60"/>
      <c r="BC70" s="60"/>
      <c r="BD70" s="60"/>
      <c r="BE70" s="62"/>
      <c r="BF70" s="60"/>
      <c r="BG70" s="60"/>
      <c r="BH70" s="60"/>
      <c r="BI70" s="60"/>
      <c r="BJ70" s="60"/>
      <c r="BK70" s="62"/>
      <c r="BL70" s="60"/>
      <c r="BM70" s="60"/>
      <c r="BN70" s="60"/>
      <c r="BO70" s="60"/>
      <c r="BP70" s="60"/>
      <c r="BQ70" s="62"/>
      <c r="BW70" s="21"/>
      <c r="CC70" s="21"/>
    </row>
    <row r="71" spans="1:81" s="20" customFormat="1" ht="48.75" customHeight="1" thickBot="1" x14ac:dyDescent="0.3">
      <c r="A71" s="455" t="s">
        <v>443</v>
      </c>
      <c r="B71" s="452" t="s">
        <v>446</v>
      </c>
      <c r="C71" s="446" t="s">
        <v>444</v>
      </c>
      <c r="D71" s="447" t="s">
        <v>445</v>
      </c>
      <c r="E71" s="453">
        <v>13800000</v>
      </c>
      <c r="F71" s="454"/>
      <c r="G71" s="454"/>
      <c r="H71" s="454">
        <f>E71/4</f>
        <v>3450000</v>
      </c>
      <c r="I71" s="438">
        <v>45548</v>
      </c>
      <c r="J71" s="449">
        <v>45657</v>
      </c>
      <c r="K71" s="440" t="s">
        <v>451</v>
      </c>
      <c r="L71" s="441">
        <v>45545</v>
      </c>
      <c r="M71" s="450" t="s">
        <v>452</v>
      </c>
      <c r="N71" s="451">
        <v>45548</v>
      </c>
      <c r="O71" s="445">
        <f t="shared" ref="O71:O76" si="8">J71-I71</f>
        <v>109</v>
      </c>
      <c r="P71" s="446"/>
      <c r="Q71" s="68"/>
      <c r="R71" s="60"/>
      <c r="S71" s="60"/>
      <c r="T71" s="60"/>
      <c r="U71" s="60"/>
      <c r="V71" s="60"/>
      <c r="W71" s="62"/>
      <c r="X71" s="60"/>
      <c r="Y71" s="60"/>
      <c r="Z71" s="60"/>
      <c r="AA71" s="60"/>
      <c r="AB71" s="67"/>
      <c r="AC71" s="68"/>
      <c r="AD71" s="60"/>
      <c r="AE71" s="60"/>
      <c r="AF71" s="60"/>
      <c r="AG71" s="60"/>
      <c r="AH71" s="60"/>
      <c r="AI71" s="62"/>
      <c r="AJ71" s="60"/>
      <c r="AK71" s="60"/>
      <c r="AL71" s="60"/>
      <c r="AM71" s="60"/>
      <c r="AN71" s="67"/>
      <c r="AO71" s="68"/>
      <c r="AP71" s="60"/>
      <c r="AQ71" s="60"/>
      <c r="AR71" s="60"/>
      <c r="AS71" s="60"/>
      <c r="AT71" s="60"/>
      <c r="AU71" s="62"/>
      <c r="AV71" s="60"/>
      <c r="AW71" s="60"/>
      <c r="AX71" s="60"/>
      <c r="AY71" s="60"/>
      <c r="AZ71" s="61"/>
      <c r="BA71" s="60"/>
      <c r="BB71" s="60"/>
      <c r="BC71" s="60"/>
      <c r="BD71" s="60"/>
      <c r="BE71" s="62"/>
      <c r="BF71" s="60"/>
      <c r="BG71" s="60"/>
      <c r="BH71" s="60"/>
      <c r="BI71" s="60"/>
      <c r="BJ71" s="60"/>
      <c r="BK71" s="62"/>
      <c r="BL71" s="60"/>
      <c r="BM71" s="60"/>
      <c r="BN71" s="60"/>
      <c r="BO71" s="60"/>
      <c r="BP71" s="60"/>
      <c r="BQ71" s="62"/>
      <c r="BW71" s="21"/>
      <c r="CC71" s="21"/>
    </row>
    <row r="72" spans="1:81" ht="150.75" thickBot="1" x14ac:dyDescent="0.3">
      <c r="A72" s="455" t="s">
        <v>453</v>
      </c>
      <c r="B72" s="452" t="s">
        <v>361</v>
      </c>
      <c r="C72" s="446" t="s">
        <v>454</v>
      </c>
      <c r="D72" s="447" t="s">
        <v>455</v>
      </c>
      <c r="E72" s="453">
        <v>7600000</v>
      </c>
      <c r="F72" s="454"/>
      <c r="G72" s="454"/>
      <c r="H72" s="454">
        <f>E72/4</f>
        <v>1900000</v>
      </c>
      <c r="I72" s="438">
        <v>45554</v>
      </c>
      <c r="J72" s="449">
        <v>45646</v>
      </c>
      <c r="K72" s="440" t="s">
        <v>456</v>
      </c>
      <c r="L72" s="441">
        <v>45547</v>
      </c>
      <c r="M72" s="450" t="s">
        <v>457</v>
      </c>
      <c r="N72" s="451">
        <v>45554</v>
      </c>
      <c r="O72" s="445">
        <f t="shared" si="8"/>
        <v>92</v>
      </c>
      <c r="P72" s="446"/>
    </row>
    <row r="73" spans="1:81" ht="161.25" customHeight="1" thickBot="1" x14ac:dyDescent="0.3">
      <c r="A73" s="456" t="s">
        <v>458</v>
      </c>
      <c r="B73" s="456" t="s">
        <v>459</v>
      </c>
      <c r="C73" s="464">
        <v>1098655163</v>
      </c>
      <c r="D73" s="465" t="s">
        <v>460</v>
      </c>
      <c r="E73" s="459">
        <v>18500000</v>
      </c>
      <c r="F73" s="459"/>
      <c r="G73" s="459"/>
      <c r="H73" s="459">
        <f>E73/3</f>
        <v>6166666.666666667</v>
      </c>
      <c r="I73" s="461">
        <v>45576</v>
      </c>
      <c r="J73" s="461">
        <v>45653</v>
      </c>
      <c r="K73" s="456" t="s">
        <v>470</v>
      </c>
      <c r="L73" s="461">
        <v>45566</v>
      </c>
      <c r="M73" s="456" t="s">
        <v>471</v>
      </c>
      <c r="N73" s="461">
        <v>45576</v>
      </c>
      <c r="O73" s="456">
        <f t="shared" si="8"/>
        <v>77</v>
      </c>
      <c r="P73" s="456"/>
    </row>
    <row r="74" spans="1:81" ht="177.75" customHeight="1" thickBot="1" x14ac:dyDescent="0.3">
      <c r="A74" s="456" t="s">
        <v>461</v>
      </c>
      <c r="B74" s="456" t="s">
        <v>462</v>
      </c>
      <c r="C74" s="464">
        <v>1005384540</v>
      </c>
      <c r="D74" s="465" t="s">
        <v>463</v>
      </c>
      <c r="E74" s="459">
        <v>4775280</v>
      </c>
      <c r="F74" s="459"/>
      <c r="G74" s="459"/>
      <c r="H74" s="459">
        <f>E74/3</f>
        <v>1591760</v>
      </c>
      <c r="I74" s="461">
        <v>45576</v>
      </c>
      <c r="J74" s="461">
        <v>45653</v>
      </c>
      <c r="K74" s="456" t="s">
        <v>472</v>
      </c>
      <c r="L74" s="461">
        <v>45566</v>
      </c>
      <c r="M74" s="456" t="s">
        <v>473</v>
      </c>
      <c r="N74" s="461">
        <v>45576</v>
      </c>
      <c r="O74" s="456">
        <f t="shared" si="8"/>
        <v>77</v>
      </c>
      <c r="P74" s="456"/>
    </row>
    <row r="75" spans="1:81" ht="221.25" customHeight="1" thickBot="1" x14ac:dyDescent="0.3">
      <c r="A75" s="456" t="s">
        <v>464</v>
      </c>
      <c r="B75" s="456" t="s">
        <v>465</v>
      </c>
      <c r="C75" s="457">
        <v>1053326160</v>
      </c>
      <c r="D75" s="458" t="s">
        <v>466</v>
      </c>
      <c r="E75" s="459">
        <v>3979400</v>
      </c>
      <c r="F75" s="460"/>
      <c r="G75" s="460"/>
      <c r="H75" s="459">
        <f>E75/3</f>
        <v>1326466.6666666667</v>
      </c>
      <c r="I75" s="461">
        <v>45589</v>
      </c>
      <c r="J75" s="461">
        <v>45653</v>
      </c>
      <c r="K75" s="462" t="s">
        <v>474</v>
      </c>
      <c r="L75" s="390">
        <v>45573</v>
      </c>
      <c r="M75" s="462" t="s">
        <v>475</v>
      </c>
      <c r="N75" s="390">
        <v>45589</v>
      </c>
      <c r="O75" s="456">
        <f t="shared" si="8"/>
        <v>64</v>
      </c>
      <c r="P75" s="463"/>
    </row>
    <row r="76" spans="1:81" ht="160.5" customHeight="1" thickBot="1" x14ac:dyDescent="0.3">
      <c r="A76" s="456" t="s">
        <v>467</v>
      </c>
      <c r="B76" s="456" t="s">
        <v>468</v>
      </c>
      <c r="C76" s="464">
        <v>63528277</v>
      </c>
      <c r="D76" s="465" t="s">
        <v>469</v>
      </c>
      <c r="E76" s="459">
        <v>10500000</v>
      </c>
      <c r="F76" s="459"/>
      <c r="G76" s="459"/>
      <c r="H76" s="459">
        <f>E76/3</f>
        <v>3500000</v>
      </c>
      <c r="I76" s="461">
        <v>45589</v>
      </c>
      <c r="J76" s="461">
        <v>45653</v>
      </c>
      <c r="K76" s="462" t="s">
        <v>476</v>
      </c>
      <c r="L76" s="390">
        <v>45573</v>
      </c>
      <c r="M76" s="462" t="s">
        <v>477</v>
      </c>
      <c r="N76" s="390">
        <v>45589</v>
      </c>
      <c r="O76" s="456">
        <f t="shared" si="8"/>
        <v>64</v>
      </c>
      <c r="P76" s="463"/>
    </row>
    <row r="77" spans="1:81" ht="135.75" thickBot="1" x14ac:dyDescent="0.3">
      <c r="A77" s="456" t="s">
        <v>467</v>
      </c>
      <c r="B77" s="456" t="s">
        <v>468</v>
      </c>
      <c r="C77" s="464">
        <v>63528277</v>
      </c>
      <c r="D77" s="465" t="s">
        <v>469</v>
      </c>
      <c r="E77" s="459">
        <v>10500000</v>
      </c>
      <c r="F77" s="459"/>
      <c r="G77" s="459"/>
      <c r="H77" s="459">
        <f t="shared" ref="H77:H78" si="9">E77/3</f>
        <v>3500000</v>
      </c>
      <c r="I77" s="461">
        <v>45589</v>
      </c>
      <c r="J77" s="461">
        <v>45653</v>
      </c>
      <c r="K77" s="462" t="s">
        <v>476</v>
      </c>
      <c r="L77" s="390">
        <v>45573</v>
      </c>
      <c r="M77" s="462" t="s">
        <v>477</v>
      </c>
      <c r="N77" s="390">
        <v>45589</v>
      </c>
      <c r="O77" s="456">
        <f t="shared" ref="O77:O80" si="10">J77-I77</f>
        <v>64</v>
      </c>
      <c r="P77" s="463"/>
    </row>
    <row r="78" spans="1:81" ht="135.75" thickBot="1" x14ac:dyDescent="0.3">
      <c r="A78" s="456" t="s">
        <v>467</v>
      </c>
      <c r="B78" s="456" t="s">
        <v>468</v>
      </c>
      <c r="C78" s="464">
        <v>63528277</v>
      </c>
      <c r="D78" s="465" t="s">
        <v>469</v>
      </c>
      <c r="E78" s="459">
        <v>10500000</v>
      </c>
      <c r="F78" s="459"/>
      <c r="G78" s="459"/>
      <c r="H78" s="459">
        <f t="shared" si="9"/>
        <v>3500000</v>
      </c>
      <c r="I78" s="461">
        <v>45631</v>
      </c>
      <c r="J78" s="461">
        <v>45657</v>
      </c>
      <c r="K78" s="462" t="s">
        <v>476</v>
      </c>
      <c r="L78" s="390">
        <v>45573</v>
      </c>
      <c r="M78" s="462" t="s">
        <v>477</v>
      </c>
      <c r="N78" s="390">
        <v>45589</v>
      </c>
      <c r="O78" s="456">
        <f t="shared" si="10"/>
        <v>26</v>
      </c>
      <c r="P78" s="463"/>
    </row>
    <row r="79" spans="1:81" ht="150.75" thickBot="1" x14ac:dyDescent="0.3">
      <c r="A79" s="466" t="s">
        <v>478</v>
      </c>
      <c r="B79" s="468" t="s">
        <v>483</v>
      </c>
      <c r="C79" s="467" t="s">
        <v>484</v>
      </c>
      <c r="D79" s="468" t="s">
        <v>479</v>
      </c>
      <c r="E79" s="469">
        <v>8700000</v>
      </c>
      <c r="F79" s="469"/>
      <c r="G79" s="469"/>
      <c r="H79" s="469">
        <f>E79</f>
        <v>8700000</v>
      </c>
      <c r="I79" s="470">
        <v>45631</v>
      </c>
      <c r="J79" s="470">
        <v>45657</v>
      </c>
      <c r="K79" s="471" t="s">
        <v>485</v>
      </c>
      <c r="L79" s="140">
        <v>45623</v>
      </c>
      <c r="M79" s="471" t="s">
        <v>486</v>
      </c>
      <c r="N79" s="140">
        <v>45631</v>
      </c>
      <c r="O79" s="466">
        <f>J79-I79</f>
        <v>26</v>
      </c>
      <c r="P79" s="472"/>
    </row>
    <row r="80" spans="1:81" ht="45.75" thickBot="1" x14ac:dyDescent="0.3">
      <c r="A80" s="466" t="s">
        <v>480</v>
      </c>
      <c r="B80" s="466" t="s">
        <v>481</v>
      </c>
      <c r="C80" s="467" t="s">
        <v>125</v>
      </c>
      <c r="D80" s="468" t="s">
        <v>482</v>
      </c>
      <c r="E80" s="469">
        <v>7771890</v>
      </c>
      <c r="F80" s="469"/>
      <c r="G80" s="469"/>
      <c r="H80" s="469">
        <f>E80</f>
        <v>7771890</v>
      </c>
      <c r="I80" s="470">
        <v>45636</v>
      </c>
      <c r="J80" s="470">
        <v>45643</v>
      </c>
      <c r="K80" s="471" t="s">
        <v>487</v>
      </c>
      <c r="L80" s="140">
        <v>45624</v>
      </c>
      <c r="M80" s="471" t="s">
        <v>488</v>
      </c>
      <c r="N80" s="140">
        <v>45636</v>
      </c>
      <c r="O80" s="466">
        <f t="shared" si="10"/>
        <v>7</v>
      </c>
      <c r="P80" s="472"/>
    </row>
  </sheetData>
  <sheetProtection selectLockedCells="1" selectUnlockedCells="1"/>
  <autoFilter ref="A3:P71" xr:uid="{00000000-0009-0000-0000-000000000000}"/>
  <mergeCells count="8">
    <mergeCell ref="AO2:AZ2"/>
    <mergeCell ref="BA2:BC2"/>
    <mergeCell ref="BD2:BQ2"/>
    <mergeCell ref="A1:P1"/>
    <mergeCell ref="K2:L2"/>
    <mergeCell ref="M2:N2"/>
    <mergeCell ref="Q2:AB2"/>
    <mergeCell ref="AC2:AN2"/>
  </mergeCells>
  <conditionalFormatting sqref="Q32:R32 U32:AP32 AR32:AZ32 Q33:AZ47 R48:AZ48 Q49:AZ71">
    <cfRule type="cellIs" dxfId="5" priority="31" operator="equal">
      <formula>"SI"</formula>
    </cfRule>
    <cfRule type="cellIs" dxfId="4" priority="32" operator="equal">
      <formula>"NO"</formula>
    </cfRule>
  </conditionalFormatting>
  <conditionalFormatting sqref="Q4:AZ31">
    <cfRule type="cellIs" dxfId="3" priority="17" operator="equal">
      <formula>"SI"</formula>
    </cfRule>
    <cfRule type="cellIs" dxfId="2" priority="18" operator="equal">
      <formula>"NO"</formula>
    </cfRule>
  </conditionalFormatting>
  <conditionalFormatting sqref="BA4:BQ71">
    <cfRule type="cellIs" dxfId="1" priority="1" operator="equal">
      <formula>"NO"</formula>
    </cfRule>
    <cfRule type="cellIs" dxfId="0" priority="2" operator="equal">
      <formula>"SI"</formula>
    </cfRule>
  </conditionalFormatting>
  <pageMargins left="0.70866141732283472" right="0.70866141732283472" top="0.74803149606299213" bottom="0.74803149606299213" header="0.31496062992125984" footer="0.31496062992125984"/>
  <pageSetup paperSize="5"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51"/>
  <sheetViews>
    <sheetView workbookViewId="0">
      <pane xSplit="2" ySplit="3" topLeftCell="C4" activePane="bottomRight" state="frozen"/>
      <selection pane="topRight" activeCell="C1" sqref="C1"/>
      <selection pane="bottomLeft" activeCell="A4" sqref="A4"/>
      <selection pane="bottomRight" activeCell="BE12" sqref="BE12"/>
    </sheetView>
  </sheetViews>
  <sheetFormatPr baseColWidth="10" defaultRowHeight="15" x14ac:dyDescent="0.25"/>
  <cols>
    <col min="1" max="1" width="15.28515625" customWidth="1"/>
    <col min="2" max="2" width="39.5703125" customWidth="1"/>
    <col min="3" max="3" width="16.85546875" customWidth="1"/>
    <col min="4" max="4" width="18.7109375" customWidth="1"/>
    <col min="5" max="5" width="14.5703125" customWidth="1"/>
    <col min="6" max="6" width="18.140625" customWidth="1"/>
    <col min="7" max="7" width="16.85546875" customWidth="1"/>
    <col min="8" max="8" width="15.140625" customWidth="1"/>
    <col min="9" max="9" width="14.28515625" customWidth="1"/>
    <col min="10" max="10" width="10" customWidth="1"/>
    <col min="11" max="11" width="14.140625" bestFit="1" customWidth="1"/>
    <col min="12" max="12" width="13.7109375" style="160" customWidth="1"/>
    <col min="13" max="13" width="13.140625" style="177" bestFit="1" customWidth="1"/>
    <col min="14" max="14" width="11.42578125" style="160"/>
    <col min="15" max="15" width="13.140625" style="177" bestFit="1" customWidth="1"/>
    <col min="16" max="16" width="11.42578125" style="160"/>
    <col min="17" max="17" width="13.140625" bestFit="1" customWidth="1"/>
    <col min="18" max="18" width="11.42578125" style="160"/>
    <col min="19" max="19" width="13.140625" bestFit="1" customWidth="1"/>
    <col min="20" max="20" width="11.42578125" style="160"/>
    <col min="21" max="21" width="13.140625" bestFit="1" customWidth="1"/>
    <col min="22" max="22" width="11.42578125" style="160"/>
    <col min="23" max="23" width="13.140625" bestFit="1" customWidth="1"/>
    <col min="24" max="24" width="11.42578125" style="160"/>
    <col min="25" max="25" width="13.140625" bestFit="1" customWidth="1"/>
    <col min="26" max="26" width="11.42578125" style="160"/>
    <col min="27" max="27" width="13.140625" bestFit="1" customWidth="1"/>
    <col min="33" max="33" width="14.5703125" customWidth="1"/>
    <col min="34" max="34" width="20.28515625" bestFit="1" customWidth="1"/>
    <col min="35" max="35" width="13.140625" bestFit="1" customWidth="1"/>
    <col min="37" max="37" width="14.140625" bestFit="1" customWidth="1"/>
    <col min="39" max="39" width="13.140625" bestFit="1" customWidth="1"/>
    <col min="41" max="41" width="13.140625" bestFit="1" customWidth="1"/>
    <col min="43" max="43" width="13.140625" bestFit="1" customWidth="1"/>
    <col min="45" max="45" width="13.140625" bestFit="1" customWidth="1"/>
    <col min="47" max="47" width="13.140625" bestFit="1" customWidth="1"/>
    <col min="49" max="49" width="13.140625" bestFit="1" customWidth="1"/>
    <col min="51" max="51" width="13.140625" bestFit="1" customWidth="1"/>
    <col min="53" max="53" width="13.140625" bestFit="1" customWidth="1"/>
    <col min="57" max="57" width="13.7109375" customWidth="1"/>
    <col min="58" max="58" width="13" customWidth="1"/>
    <col min="59" max="59" width="24.85546875" customWidth="1"/>
  </cols>
  <sheetData>
    <row r="1" spans="1:59" ht="34.5" thickBot="1" x14ac:dyDescent="0.55000000000000004">
      <c r="I1" s="483" t="s">
        <v>175</v>
      </c>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t="s">
        <v>176</v>
      </c>
      <c r="AI1" s="483"/>
      <c r="AJ1" s="483"/>
      <c r="AK1" s="483"/>
      <c r="AL1" s="483"/>
      <c r="AM1" s="483"/>
      <c r="AN1" s="483"/>
      <c r="AO1" s="483"/>
      <c r="AP1" s="483"/>
      <c r="AQ1" s="483"/>
      <c r="AR1" s="483"/>
      <c r="AS1" s="483"/>
      <c r="AT1" s="483"/>
      <c r="AU1" s="483"/>
      <c r="AV1" s="483"/>
      <c r="AW1" s="483"/>
      <c r="AX1" s="483"/>
      <c r="AY1" s="483"/>
      <c r="AZ1" s="483"/>
      <c r="BA1" s="483"/>
      <c r="BB1" s="483"/>
      <c r="BC1" s="483"/>
      <c r="BD1" s="483"/>
      <c r="BE1" s="483"/>
      <c r="BF1" s="483"/>
    </row>
    <row r="2" spans="1:59" ht="26.25" customHeight="1" thickBot="1" x14ac:dyDescent="0.3">
      <c r="A2" s="496" t="s">
        <v>0</v>
      </c>
      <c r="B2" s="496" t="s">
        <v>143</v>
      </c>
      <c r="C2" s="498" t="s">
        <v>8</v>
      </c>
      <c r="D2" s="496" t="s">
        <v>2</v>
      </c>
      <c r="E2" s="496" t="s">
        <v>6</v>
      </c>
      <c r="F2" s="496" t="s">
        <v>7</v>
      </c>
      <c r="G2" s="487" t="s">
        <v>3</v>
      </c>
      <c r="H2" s="487" t="s">
        <v>4</v>
      </c>
      <c r="I2" s="484" t="s">
        <v>162</v>
      </c>
      <c r="J2" s="484"/>
      <c r="K2" s="484" t="s">
        <v>163</v>
      </c>
      <c r="L2" s="484"/>
      <c r="M2" s="484" t="s">
        <v>164</v>
      </c>
      <c r="N2" s="484"/>
      <c r="O2" s="484" t="s">
        <v>165</v>
      </c>
      <c r="P2" s="484"/>
      <c r="Q2" s="484" t="s">
        <v>166</v>
      </c>
      <c r="R2" s="484"/>
      <c r="S2" s="484" t="s">
        <v>167</v>
      </c>
      <c r="T2" s="484"/>
      <c r="U2" s="484" t="s">
        <v>168</v>
      </c>
      <c r="V2" s="484"/>
      <c r="W2" s="484" t="s">
        <v>169</v>
      </c>
      <c r="X2" s="484"/>
      <c r="Y2" s="484" t="s">
        <v>170</v>
      </c>
      <c r="Z2" s="484"/>
      <c r="AA2" s="484" t="s">
        <v>171</v>
      </c>
      <c r="AB2" s="484"/>
      <c r="AC2" s="484" t="s">
        <v>172</v>
      </c>
      <c r="AD2" s="484"/>
      <c r="AE2" s="484" t="s">
        <v>173</v>
      </c>
      <c r="AF2" s="484"/>
      <c r="AG2" s="485" t="s">
        <v>174</v>
      </c>
      <c r="AH2" s="486"/>
      <c r="AI2" s="484" t="s">
        <v>162</v>
      </c>
      <c r="AJ2" s="484"/>
      <c r="AK2" s="484" t="s">
        <v>163</v>
      </c>
      <c r="AL2" s="484"/>
      <c r="AM2" s="484" t="s">
        <v>164</v>
      </c>
      <c r="AN2" s="484"/>
      <c r="AO2" s="484" t="s">
        <v>165</v>
      </c>
      <c r="AP2" s="484"/>
      <c r="AQ2" s="484" t="s">
        <v>166</v>
      </c>
      <c r="AR2" s="484"/>
      <c r="AS2" s="484" t="s">
        <v>167</v>
      </c>
      <c r="AT2" s="484"/>
      <c r="AU2" s="484" t="s">
        <v>168</v>
      </c>
      <c r="AV2" s="484"/>
      <c r="AW2" s="484" t="s">
        <v>169</v>
      </c>
      <c r="AX2" s="484"/>
      <c r="AY2" s="484" t="s">
        <v>170</v>
      </c>
      <c r="AZ2" s="484"/>
      <c r="BA2" s="484" t="s">
        <v>171</v>
      </c>
      <c r="BB2" s="484"/>
      <c r="BC2" s="484" t="s">
        <v>172</v>
      </c>
      <c r="BD2" s="484"/>
      <c r="BE2" s="484" t="s">
        <v>173</v>
      </c>
      <c r="BF2" s="484"/>
      <c r="BG2" s="153" t="s">
        <v>177</v>
      </c>
    </row>
    <row r="3" spans="1:59" ht="21.75" thickBot="1" x14ac:dyDescent="0.3">
      <c r="A3" s="497"/>
      <c r="B3" s="497"/>
      <c r="C3" s="499"/>
      <c r="D3" s="497"/>
      <c r="E3" s="497"/>
      <c r="F3" s="497"/>
      <c r="G3" s="488"/>
      <c r="H3" s="488"/>
      <c r="I3" s="155" t="s">
        <v>179</v>
      </c>
      <c r="J3" s="154" t="s">
        <v>178</v>
      </c>
      <c r="K3" s="153" t="s">
        <v>179</v>
      </c>
      <c r="L3" s="154" t="s">
        <v>178</v>
      </c>
      <c r="M3" s="173" t="s">
        <v>179</v>
      </c>
      <c r="N3" s="154" t="s">
        <v>178</v>
      </c>
      <c r="O3" s="173" t="s">
        <v>179</v>
      </c>
      <c r="P3" s="154" t="s">
        <v>178</v>
      </c>
      <c r="Q3" s="153" t="s">
        <v>179</v>
      </c>
      <c r="R3" s="154" t="s">
        <v>178</v>
      </c>
      <c r="S3" s="153" t="s">
        <v>179</v>
      </c>
      <c r="T3" s="154" t="s">
        <v>178</v>
      </c>
      <c r="U3" s="153" t="s">
        <v>179</v>
      </c>
      <c r="V3" s="154" t="s">
        <v>178</v>
      </c>
      <c r="W3" s="153" t="s">
        <v>179</v>
      </c>
      <c r="X3" s="154" t="s">
        <v>178</v>
      </c>
      <c r="Y3" s="153" t="s">
        <v>179</v>
      </c>
      <c r="Z3" s="154" t="s">
        <v>178</v>
      </c>
      <c r="AA3" s="153" t="s">
        <v>179</v>
      </c>
      <c r="AB3" s="153" t="s">
        <v>178</v>
      </c>
      <c r="AC3" s="153" t="s">
        <v>179</v>
      </c>
      <c r="AD3" s="153" t="s">
        <v>178</v>
      </c>
      <c r="AE3" s="153" t="s">
        <v>179</v>
      </c>
      <c r="AF3" s="153" t="s">
        <v>178</v>
      </c>
      <c r="AG3" s="156" t="s">
        <v>179</v>
      </c>
      <c r="AH3" s="156" t="s">
        <v>178</v>
      </c>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6"/>
    </row>
    <row r="4" spans="1:59" ht="16.5" thickBot="1" x14ac:dyDescent="0.3">
      <c r="A4" s="196" t="s">
        <v>73</v>
      </c>
      <c r="B4" s="36" t="s">
        <v>74</v>
      </c>
      <c r="C4" s="37" t="s">
        <v>9</v>
      </c>
      <c r="D4" s="38">
        <v>55000000</v>
      </c>
      <c r="E4" s="39"/>
      <c r="F4" s="40">
        <f t="shared" ref="F4:F22" si="0">D4</f>
        <v>55000000</v>
      </c>
      <c r="G4" s="41">
        <v>44929</v>
      </c>
      <c r="H4" s="41">
        <v>45291</v>
      </c>
      <c r="I4" s="163">
        <v>4848444</v>
      </c>
      <c r="J4" s="161">
        <f>SUM(I4)/D4</f>
        <v>8.8153527272727267E-2</v>
      </c>
      <c r="K4" s="162"/>
      <c r="L4" s="161"/>
      <c r="M4" s="163"/>
      <c r="N4" s="161"/>
      <c r="O4" s="163"/>
      <c r="P4" s="161"/>
      <c r="Q4" s="162"/>
      <c r="R4" s="161"/>
      <c r="S4" s="162"/>
      <c r="T4" s="161"/>
      <c r="U4" s="162"/>
      <c r="V4" s="161"/>
      <c r="W4" s="162"/>
      <c r="X4" s="161"/>
      <c r="Y4" s="162"/>
      <c r="Z4" s="161"/>
      <c r="AA4" s="162"/>
      <c r="AB4" s="162"/>
      <c r="AC4" s="162"/>
      <c r="AD4" s="162"/>
      <c r="AE4" s="162"/>
      <c r="AF4" s="162"/>
      <c r="AG4" s="157"/>
      <c r="AH4" s="157"/>
      <c r="AI4" s="163"/>
      <c r="AJ4" s="161"/>
      <c r="AK4" s="162"/>
      <c r="AL4" s="161"/>
      <c r="AM4" s="163"/>
      <c r="AN4" s="161"/>
      <c r="AO4" s="163"/>
      <c r="AP4" s="161"/>
      <c r="AQ4" s="162"/>
      <c r="AR4" s="161"/>
      <c r="AS4" s="162"/>
      <c r="AT4" s="161"/>
      <c r="AU4" s="162"/>
      <c r="AV4" s="161"/>
      <c r="AW4" s="162"/>
      <c r="AX4" s="161"/>
      <c r="AY4" s="162"/>
      <c r="AZ4" s="161"/>
      <c r="BA4" s="162"/>
      <c r="BB4" s="162"/>
      <c r="BC4" s="162"/>
      <c r="BD4" s="162"/>
      <c r="BE4" s="162"/>
      <c r="BF4" s="162"/>
      <c r="BG4" s="157"/>
    </row>
    <row r="5" spans="1:59" ht="16.5" thickBot="1" x14ac:dyDescent="0.3">
      <c r="A5" s="196" t="s">
        <v>75</v>
      </c>
      <c r="B5" s="36" t="s">
        <v>5</v>
      </c>
      <c r="C5" s="37" t="s">
        <v>69</v>
      </c>
      <c r="D5" s="38">
        <v>12500000</v>
      </c>
      <c r="E5" s="39"/>
      <c r="F5" s="43">
        <f t="shared" si="0"/>
        <v>12500000</v>
      </c>
      <c r="G5" s="41">
        <v>44929</v>
      </c>
      <c r="H5" s="41">
        <v>45291</v>
      </c>
      <c r="I5" s="163"/>
      <c r="J5" s="161"/>
      <c r="K5" s="162"/>
      <c r="L5" s="161"/>
      <c r="M5" s="163"/>
      <c r="N5" s="161"/>
      <c r="O5" s="163"/>
      <c r="P5" s="161"/>
      <c r="Q5" s="162"/>
      <c r="R5" s="161"/>
      <c r="S5" s="162"/>
      <c r="T5" s="161"/>
      <c r="U5" s="162"/>
      <c r="V5" s="161"/>
      <c r="W5" s="162"/>
      <c r="X5" s="161"/>
      <c r="Y5" s="162"/>
      <c r="Z5" s="161"/>
      <c r="AA5" s="162"/>
      <c r="AB5" s="162"/>
      <c r="AC5" s="162"/>
      <c r="AD5" s="162"/>
      <c r="AE5" s="162"/>
      <c r="AF5" s="162"/>
      <c r="AG5" s="157"/>
      <c r="AH5" s="157"/>
      <c r="AI5" s="163"/>
      <c r="AJ5" s="161"/>
      <c r="AK5" s="162"/>
      <c r="AL5" s="161"/>
      <c r="AM5" s="163"/>
      <c r="AN5" s="161"/>
      <c r="AO5" s="163"/>
      <c r="AP5" s="161"/>
      <c r="AQ5" s="162"/>
      <c r="AR5" s="161"/>
      <c r="AS5" s="162"/>
      <c r="AT5" s="161"/>
      <c r="AU5" s="162"/>
      <c r="AV5" s="161"/>
      <c r="AW5" s="162"/>
      <c r="AX5" s="161"/>
      <c r="AY5" s="162"/>
      <c r="AZ5" s="161"/>
      <c r="BA5" s="162"/>
      <c r="BB5" s="162"/>
      <c r="BC5" s="162"/>
      <c r="BD5" s="162"/>
      <c r="BE5" s="162"/>
      <c r="BF5" s="162"/>
      <c r="BG5" s="157"/>
    </row>
    <row r="6" spans="1:59" ht="16.5" thickBot="1" x14ac:dyDescent="0.3">
      <c r="A6" s="196" t="s">
        <v>76</v>
      </c>
      <c r="B6" s="36" t="s">
        <v>5</v>
      </c>
      <c r="C6" s="37" t="s">
        <v>9</v>
      </c>
      <c r="D6" s="38">
        <v>5500000</v>
      </c>
      <c r="E6" s="39"/>
      <c r="F6" s="43">
        <f t="shared" si="0"/>
        <v>5500000</v>
      </c>
      <c r="G6" s="41">
        <v>44929</v>
      </c>
      <c r="H6" s="41">
        <v>45291</v>
      </c>
      <c r="I6" s="163"/>
      <c r="J6" s="161"/>
      <c r="K6" s="162"/>
      <c r="L6" s="161"/>
      <c r="M6" s="163"/>
      <c r="N6" s="161"/>
      <c r="O6" s="163"/>
      <c r="P6" s="161"/>
      <c r="Q6" s="162"/>
      <c r="R6" s="161"/>
      <c r="S6" s="162"/>
      <c r="T6" s="161"/>
      <c r="U6" s="162"/>
      <c r="V6" s="161"/>
      <c r="W6" s="162"/>
      <c r="X6" s="161"/>
      <c r="Y6" s="162"/>
      <c r="Z6" s="161"/>
      <c r="AA6" s="162"/>
      <c r="AB6" s="162"/>
      <c r="AC6" s="162"/>
      <c r="AD6" s="162"/>
      <c r="AE6" s="162"/>
      <c r="AF6" s="162"/>
      <c r="AG6" s="157"/>
      <c r="AH6" s="157"/>
      <c r="AI6" s="163"/>
      <c r="AJ6" s="161"/>
      <c r="AK6" s="162"/>
      <c r="AL6" s="161"/>
      <c r="AM6" s="163"/>
      <c r="AN6" s="161"/>
      <c r="AO6" s="163"/>
      <c r="AP6" s="161"/>
      <c r="AQ6" s="162"/>
      <c r="AR6" s="161"/>
      <c r="AS6" s="162"/>
      <c r="AT6" s="161"/>
      <c r="AU6" s="162"/>
      <c r="AV6" s="161"/>
      <c r="AW6" s="162"/>
      <c r="AX6" s="161"/>
      <c r="AY6" s="162"/>
      <c r="AZ6" s="161"/>
      <c r="BA6" s="162"/>
      <c r="BB6" s="162"/>
      <c r="BC6" s="162"/>
      <c r="BD6" s="162"/>
      <c r="BE6" s="162"/>
      <c r="BF6" s="162"/>
      <c r="BG6" s="157"/>
    </row>
    <row r="7" spans="1:59" ht="16.5" thickBot="1" x14ac:dyDescent="0.3">
      <c r="A7" s="196" t="s">
        <v>78</v>
      </c>
      <c r="B7" s="36" t="s">
        <v>5</v>
      </c>
      <c r="C7" s="37" t="s">
        <v>9</v>
      </c>
      <c r="D7" s="38">
        <v>9200000</v>
      </c>
      <c r="E7" s="44">
        <v>4500000</v>
      </c>
      <c r="F7" s="43">
        <f>D7+E7</f>
        <v>13700000</v>
      </c>
      <c r="G7" s="41">
        <v>44929</v>
      </c>
      <c r="H7" s="41">
        <v>45291</v>
      </c>
      <c r="I7" s="163"/>
      <c r="J7" s="161"/>
      <c r="K7" s="162"/>
      <c r="L7" s="161"/>
      <c r="M7" s="163"/>
      <c r="N7" s="161"/>
      <c r="O7" s="163"/>
      <c r="P7" s="161"/>
      <c r="Q7" s="162"/>
      <c r="R7" s="161"/>
      <c r="S7" s="162"/>
      <c r="T7" s="161"/>
      <c r="U7" s="162"/>
      <c r="V7" s="161"/>
      <c r="W7" s="162"/>
      <c r="X7" s="161"/>
      <c r="Y7" s="162"/>
      <c r="Z7" s="161"/>
      <c r="AA7" s="162"/>
      <c r="AB7" s="162"/>
      <c r="AC7" s="162"/>
      <c r="AD7" s="162"/>
      <c r="AE7" s="162"/>
      <c r="AF7" s="162"/>
      <c r="AG7" s="157"/>
      <c r="AH7" s="157"/>
      <c r="AI7" s="163"/>
      <c r="AJ7" s="161"/>
      <c r="AK7" s="162"/>
      <c r="AL7" s="161"/>
      <c r="AM7" s="163"/>
      <c r="AN7" s="161"/>
      <c r="AO7" s="163"/>
      <c r="AP7" s="161"/>
      <c r="AQ7" s="162"/>
      <c r="AR7" s="161"/>
      <c r="AS7" s="162"/>
      <c r="AT7" s="161"/>
      <c r="AU7" s="162"/>
      <c r="AV7" s="161"/>
      <c r="AW7" s="162"/>
      <c r="AX7" s="161"/>
      <c r="AY7" s="162"/>
      <c r="AZ7" s="161"/>
      <c r="BA7" s="162"/>
      <c r="BB7" s="162"/>
      <c r="BC7" s="162"/>
      <c r="BD7" s="162"/>
      <c r="BE7" s="162"/>
      <c r="BF7" s="162"/>
      <c r="BG7" s="157"/>
    </row>
    <row r="8" spans="1:59" ht="16.5" thickBot="1" x14ac:dyDescent="0.3">
      <c r="A8" s="196" t="s">
        <v>80</v>
      </c>
      <c r="B8" s="45" t="s">
        <v>81</v>
      </c>
      <c r="C8" s="46">
        <v>1099874808</v>
      </c>
      <c r="D8" s="38">
        <v>17112696</v>
      </c>
      <c r="E8" s="44"/>
      <c r="F8" s="43">
        <f t="shared" si="0"/>
        <v>17112696</v>
      </c>
      <c r="G8" s="41">
        <v>44929</v>
      </c>
      <c r="H8" s="41">
        <v>45291</v>
      </c>
      <c r="I8" s="164">
        <v>1309366</v>
      </c>
      <c r="J8" s="165">
        <f>I8/D8</f>
        <v>7.6514302597323058E-2</v>
      </c>
      <c r="K8" s="164">
        <v>1309366</v>
      </c>
      <c r="L8" s="165">
        <f>(K8+I8)/F8</f>
        <v>0.15302860519464612</v>
      </c>
      <c r="M8" s="164">
        <v>1426058</v>
      </c>
      <c r="N8" s="165">
        <f>(M8+K8+I8)/F8</f>
        <v>0.23636193852797946</v>
      </c>
      <c r="O8" s="164">
        <v>1426058</v>
      </c>
      <c r="P8" s="165">
        <f>(O8+M8+K8+I8)/F8</f>
        <v>0.3196952718613128</v>
      </c>
      <c r="Q8" s="164">
        <v>1426058</v>
      </c>
      <c r="R8" s="165">
        <f>(Q8+O8+M8+K8+I8)/F8</f>
        <v>0.40302860519464612</v>
      </c>
      <c r="S8" s="164">
        <v>1426058</v>
      </c>
      <c r="T8" s="165">
        <f>(S8+Q8+O8+M8+K8+I8)/F8</f>
        <v>0.48636193852797949</v>
      </c>
      <c r="U8" s="164">
        <v>1659442</v>
      </c>
      <c r="V8" s="165">
        <f>(U8+S8+Q8+O8+M8+K8+I8)/F8</f>
        <v>0.58333333333333337</v>
      </c>
      <c r="W8" s="164">
        <v>1426058</v>
      </c>
      <c r="X8" s="165">
        <f>(I8+K8+M8+O8+Q8+S8+U8+W8)/D8</f>
        <v>0.66666666666666663</v>
      </c>
      <c r="Y8" s="164">
        <v>1426058</v>
      </c>
      <c r="Z8" s="165">
        <f>(I8+K8+M8+O8+Q8+S8+U8+W8+Y8)/F8</f>
        <v>0.75</v>
      </c>
      <c r="AA8" s="164">
        <v>1426058</v>
      </c>
      <c r="AB8" s="165">
        <f t="shared" ref="AB8:AB13" si="1">SUM(AA8,Y8,W8,U8,S8,Q8,O8,M8,K8,I8)/F8</f>
        <v>0.83333333333333337</v>
      </c>
      <c r="AC8" s="162"/>
      <c r="AD8" s="162"/>
      <c r="AE8" s="162"/>
      <c r="AF8" s="162"/>
      <c r="AG8" s="158">
        <f>SUM(I8,K8,M8,O8,Q8,S8,U8,W8,Y8,AA8,AC8,AE8)</f>
        <v>14260580</v>
      </c>
      <c r="AH8" s="159">
        <f>SUM(AG8)/F8</f>
        <v>0.83333333333333337</v>
      </c>
      <c r="AI8" s="164">
        <v>1309366</v>
      </c>
      <c r="AJ8" s="165">
        <f>SUM(AI8)/F8</f>
        <v>7.6514302597323058E-2</v>
      </c>
      <c r="AK8" s="164">
        <v>1309366</v>
      </c>
      <c r="AL8" s="165">
        <f>SUM(AI8,AK8)/F8</f>
        <v>0.15302860519464612</v>
      </c>
      <c r="AM8" s="164">
        <v>1426058</v>
      </c>
      <c r="AN8" s="165">
        <f>SUM(AM8,AK8,AI8)/F8</f>
        <v>0.23636193852797946</v>
      </c>
      <c r="AO8" s="164">
        <v>1426058</v>
      </c>
      <c r="AP8" s="165">
        <f>SUM(AO8,AM8,AK8,AI8)/F8</f>
        <v>0.3196952718613128</v>
      </c>
      <c r="AQ8" s="164">
        <v>1426058</v>
      </c>
      <c r="AR8" s="165">
        <f>SUM(AQ8,AO8,AM8,AK8,AI8)/F9</f>
        <v>0.26124643939393938</v>
      </c>
      <c r="AS8" s="164">
        <v>1426058</v>
      </c>
      <c r="AT8" s="165">
        <f>SUM(AS8,AQ8,AO8,AM8,AK8,AI8)/F8</f>
        <v>0.48636193852797949</v>
      </c>
      <c r="AU8" s="164">
        <v>1659442</v>
      </c>
      <c r="AV8" s="165">
        <f>SUM(AU8,AS8,AQ8,AO8,AM8,AK8,AI8)/F8</f>
        <v>0.58333333333333337</v>
      </c>
      <c r="AW8" s="164">
        <v>1426058</v>
      </c>
      <c r="AX8" s="165">
        <f>SUM(AW8,AU8,AS8,AQ8,AO8,AM8,AK8,AI8)/F8</f>
        <v>0.66666666666666663</v>
      </c>
      <c r="AY8" s="164">
        <v>1426058</v>
      </c>
      <c r="AZ8" s="165">
        <f>SUM(AY8,AW8,AU8,AS8,AQ8,AO8,AM8,AK8,AI8)/F8</f>
        <v>0.75</v>
      </c>
      <c r="BA8" s="164">
        <v>1426058</v>
      </c>
      <c r="BB8" s="165">
        <f>SUM(BA8,AY8,AW8,AU8,AS8,AQ8,AO8,AM8,AK8,AI8)/D8</f>
        <v>0.83333333333333337</v>
      </c>
      <c r="BC8" s="162"/>
      <c r="BD8" s="162"/>
      <c r="BE8" s="162"/>
      <c r="BF8" s="162"/>
      <c r="BG8" s="158">
        <f>SUM(AI8,AK8,AM8,AO8,AQ8,AS8,AU8,AW8,AY8,BA8,BC8,BE8)</f>
        <v>14260580</v>
      </c>
    </row>
    <row r="9" spans="1:59" ht="16.5" thickBot="1" x14ac:dyDescent="0.3">
      <c r="A9" s="196" t="s">
        <v>82</v>
      </c>
      <c r="B9" s="36" t="s">
        <v>26</v>
      </c>
      <c r="C9" s="37">
        <v>1010192436</v>
      </c>
      <c r="D9" s="47">
        <v>26400000</v>
      </c>
      <c r="E9" s="44"/>
      <c r="F9" s="43">
        <f t="shared" si="0"/>
        <v>26400000</v>
      </c>
      <c r="G9" s="41">
        <v>44932</v>
      </c>
      <c r="H9" s="41">
        <v>45291</v>
      </c>
      <c r="I9" s="164">
        <v>1800000</v>
      </c>
      <c r="J9" s="165">
        <f>I9/F9</f>
        <v>6.8181818181818177E-2</v>
      </c>
      <c r="K9" s="164">
        <v>1800000</v>
      </c>
      <c r="L9" s="165">
        <f>(K9+I9)/F9</f>
        <v>0.13636363636363635</v>
      </c>
      <c r="M9" s="164">
        <v>2200000</v>
      </c>
      <c r="N9" s="165">
        <f>(M9+K9+I9)/F9</f>
        <v>0.2196969696969697</v>
      </c>
      <c r="O9" s="164">
        <v>2200000</v>
      </c>
      <c r="P9" s="165">
        <f>(O9+M9+K9+I9)/F9</f>
        <v>0.30303030303030304</v>
      </c>
      <c r="Q9" s="164">
        <v>2200000</v>
      </c>
      <c r="R9" s="165">
        <f>(Q9+O9+M9+K9+I9)/F9</f>
        <v>0.38636363636363635</v>
      </c>
      <c r="S9" s="164">
        <v>2200000</v>
      </c>
      <c r="T9" s="165">
        <f>(S9+Q9+O9+M9+K9+I9)/F9</f>
        <v>0.46969696969696972</v>
      </c>
      <c r="U9" s="164">
        <v>3000000</v>
      </c>
      <c r="V9" s="165">
        <f>(I9+K9+M9+O9+Q9+S9+U9)/F9</f>
        <v>0.58333333333333337</v>
      </c>
      <c r="W9" s="164">
        <v>2200000</v>
      </c>
      <c r="X9" s="165">
        <f>(I9+K9+M9+O9+Q9+S9+U9+W9)/F9</f>
        <v>0.66666666666666663</v>
      </c>
      <c r="Y9" s="164">
        <v>2200000</v>
      </c>
      <c r="Z9" s="165">
        <f>(I9+K9+M9+O9+Q9+S9+U9+W9+Y9)/F9</f>
        <v>0.75</v>
      </c>
      <c r="AA9" s="164">
        <v>2200000</v>
      </c>
      <c r="AB9" s="165">
        <f t="shared" si="1"/>
        <v>0.83333333333333337</v>
      </c>
      <c r="AC9" s="162"/>
      <c r="AD9" s="162"/>
      <c r="AE9" s="162"/>
      <c r="AF9" s="162"/>
      <c r="AG9" s="158">
        <f t="shared" ref="AG9:AG50" si="2">SUM(I9,K9,M9,O9,Q9,S9,U9,W9,Y9,AA9,AC9,AE9)</f>
        <v>22000000</v>
      </c>
      <c r="AH9" s="159">
        <f t="shared" ref="AH9:AH50" si="3">SUM(AG9)/F9</f>
        <v>0.83333333333333337</v>
      </c>
      <c r="AI9" s="164">
        <v>1800000</v>
      </c>
      <c r="AJ9" s="165">
        <f t="shared" ref="AJ9:AJ50" si="4">SUM(AI9)/F9</f>
        <v>6.8181818181818177E-2</v>
      </c>
      <c r="AK9" s="164">
        <v>1800000</v>
      </c>
      <c r="AL9" s="165">
        <f t="shared" ref="AL9:AL50" si="5">SUM(AI9,AK9)/F9</f>
        <v>0.13636363636363635</v>
      </c>
      <c r="AM9" s="164">
        <v>2200000</v>
      </c>
      <c r="AN9" s="165">
        <f t="shared" ref="AN9:AN50" si="6">SUM(AM9,AK9,AI9)/F9</f>
        <v>0.2196969696969697</v>
      </c>
      <c r="AO9" s="164">
        <v>2200000</v>
      </c>
      <c r="AP9" s="165">
        <f t="shared" ref="AP9:AP50" si="7">SUM(AO9,AM9,AK9,AI9)/F9</f>
        <v>0.30303030303030304</v>
      </c>
      <c r="AQ9" s="164">
        <v>2200000</v>
      </c>
      <c r="AR9" s="165">
        <f t="shared" ref="AR9:AR50" si="8">SUM(AQ9,AO9,AM9,AK9,AI9)/F10</f>
        <v>0.41463414634146339</v>
      </c>
      <c r="AS9" s="164">
        <v>2200000</v>
      </c>
      <c r="AT9" s="165">
        <f t="shared" ref="AT9:AT50" si="9">SUM(AS9,AQ9,AO9,AM9,AK9,AI9)/F9</f>
        <v>0.46969696969696972</v>
      </c>
      <c r="AU9" s="164">
        <v>3000000</v>
      </c>
      <c r="AV9" s="165">
        <f t="shared" ref="AV9:AV50" si="10">SUM(AU9,AS9,AQ9,AO9,AM9,AK9,AI9)/F9</f>
        <v>0.58333333333333337</v>
      </c>
      <c r="AW9" s="164">
        <v>2200000</v>
      </c>
      <c r="AX9" s="165">
        <f t="shared" ref="AX9:AX50" si="11">SUM(AW9,AU9,AS9,AQ9,AO9,AM9,AK9,AI9)/F9</f>
        <v>0.66666666666666663</v>
      </c>
      <c r="AY9" s="164">
        <v>2200000</v>
      </c>
      <c r="AZ9" s="165">
        <f t="shared" ref="AZ9:AZ50" si="12">SUM(AY9,AW9,AU9,AS9,AQ9,AO9,AM9,AK9,AI9)/F9</f>
        <v>0.75</v>
      </c>
      <c r="BA9" s="164">
        <v>2200000</v>
      </c>
      <c r="BB9" s="165">
        <f t="shared" ref="BB9:BB50" si="13">SUM(BA9,AY9,AW9,AU9,AS9,AQ9,AO9,AM9,AK9,AI9)/D9</f>
        <v>0.83333333333333337</v>
      </c>
      <c r="BC9" s="162"/>
      <c r="BD9" s="162"/>
      <c r="BE9" s="162"/>
      <c r="BF9" s="162"/>
      <c r="BG9" s="158">
        <f t="shared" ref="BG9:BG14" si="14">SUM(AI9,AK9,AM9,AO9,AQ9,AS9,AU9,AW9,AY9,BA9,BC9,BE9)</f>
        <v>22000000</v>
      </c>
    </row>
    <row r="10" spans="1:59" ht="16.5" thickBot="1" x14ac:dyDescent="0.3">
      <c r="A10" s="196" t="s">
        <v>83</v>
      </c>
      <c r="B10" s="36" t="s">
        <v>84</v>
      </c>
      <c r="C10" s="37">
        <v>91258841</v>
      </c>
      <c r="D10" s="47">
        <v>24600000</v>
      </c>
      <c r="E10" s="44"/>
      <c r="F10" s="43">
        <f t="shared" si="0"/>
        <v>24600000</v>
      </c>
      <c r="G10" s="41">
        <v>44932</v>
      </c>
      <c r="H10" s="41">
        <v>45291</v>
      </c>
      <c r="I10" s="167">
        <v>1863685</v>
      </c>
      <c r="J10" s="165">
        <f>I10/D10</f>
        <v>7.5759552845528461E-2</v>
      </c>
      <c r="K10" s="167">
        <v>1863685</v>
      </c>
      <c r="L10" s="165">
        <f t="shared" ref="L10:L21" si="15">(K10+I10)/F10</f>
        <v>0.15151910569105692</v>
      </c>
      <c r="M10" s="164">
        <v>2050000</v>
      </c>
      <c r="N10" s="165">
        <f>(M10+K10+I10)/F10</f>
        <v>0.23485243902439024</v>
      </c>
      <c r="O10" s="164">
        <v>2050000</v>
      </c>
      <c r="P10" s="165">
        <f>(O10+M10+K10+I10)/F10</f>
        <v>0.31818577235772355</v>
      </c>
      <c r="Q10" s="164">
        <v>2050000</v>
      </c>
      <c r="R10" s="165">
        <f t="shared" ref="R10:R20" si="16">(Q10+O10+M10+K10+I10)/F10</f>
        <v>0.40151910569105692</v>
      </c>
      <c r="S10" s="164">
        <v>2050000</v>
      </c>
      <c r="T10" s="165">
        <f t="shared" ref="T10:T20" si="17">(S10+Q10+O10+M10+K10+I10)/F10</f>
        <v>0.48485243902439024</v>
      </c>
      <c r="U10" s="164">
        <v>2422630</v>
      </c>
      <c r="V10" s="165">
        <f>(U10+S10+Q10+O10+M10+K10+I10)/F10</f>
        <v>0.58333333333333337</v>
      </c>
      <c r="W10" s="164">
        <v>2050000</v>
      </c>
      <c r="X10" s="165">
        <f>(I10+K10+M10+O10+Q10+S10+U10+W10)/D10</f>
        <v>0.66666666666666663</v>
      </c>
      <c r="Y10" s="164">
        <v>2050000</v>
      </c>
      <c r="Z10" s="165">
        <f t="shared" ref="Z10:Z20" si="18">(I10+K10+M10+O10+Q10+S10+U10+W10+Y10)/F10</f>
        <v>0.75</v>
      </c>
      <c r="AA10" s="164">
        <v>2050000</v>
      </c>
      <c r="AB10" s="165">
        <f t="shared" si="1"/>
        <v>0.83333333333333337</v>
      </c>
      <c r="AC10" s="162"/>
      <c r="AD10" s="162"/>
      <c r="AE10" s="162"/>
      <c r="AF10" s="162"/>
      <c r="AG10" s="158">
        <f t="shared" si="2"/>
        <v>20500000</v>
      </c>
      <c r="AH10" s="159">
        <f t="shared" si="3"/>
        <v>0.83333333333333337</v>
      </c>
      <c r="AI10" s="167">
        <v>1863685</v>
      </c>
      <c r="AJ10" s="165">
        <f t="shared" si="4"/>
        <v>7.5759552845528461E-2</v>
      </c>
      <c r="AK10" s="167">
        <v>1863685</v>
      </c>
      <c r="AL10" s="165">
        <f t="shared" si="5"/>
        <v>0.15151910569105692</v>
      </c>
      <c r="AM10" s="164">
        <v>2050000</v>
      </c>
      <c r="AN10" s="165">
        <f t="shared" si="6"/>
        <v>0.23485243902439024</v>
      </c>
      <c r="AO10" s="164">
        <v>2050000</v>
      </c>
      <c r="AP10" s="165">
        <f t="shared" si="7"/>
        <v>0.31818577235772355</v>
      </c>
      <c r="AQ10" s="164">
        <v>2050000</v>
      </c>
      <c r="AR10" s="165">
        <f t="shared" si="8"/>
        <v>0.45698099415204679</v>
      </c>
      <c r="AS10" s="164">
        <v>2050000</v>
      </c>
      <c r="AT10" s="165">
        <f t="shared" si="9"/>
        <v>0.48485243902439024</v>
      </c>
      <c r="AU10" s="164">
        <v>2422630</v>
      </c>
      <c r="AV10" s="165">
        <f t="shared" si="10"/>
        <v>0.58333333333333337</v>
      </c>
      <c r="AW10" s="164">
        <v>2050000</v>
      </c>
      <c r="AX10" s="165">
        <f t="shared" si="11"/>
        <v>0.66666666666666663</v>
      </c>
      <c r="AY10" s="164">
        <v>2050000</v>
      </c>
      <c r="AZ10" s="165">
        <f t="shared" si="12"/>
        <v>0.75</v>
      </c>
      <c r="BA10" s="164">
        <v>2050000</v>
      </c>
      <c r="BB10" s="165">
        <f t="shared" si="13"/>
        <v>0.83333333333333337</v>
      </c>
      <c r="BC10" s="162"/>
      <c r="BD10" s="162"/>
      <c r="BE10" s="162"/>
      <c r="BF10" s="162"/>
      <c r="BG10" s="158">
        <f t="shared" si="14"/>
        <v>20500000</v>
      </c>
    </row>
    <row r="11" spans="1:59" ht="30.75" thickBot="1" x14ac:dyDescent="0.3">
      <c r="A11" s="196" t="s">
        <v>85</v>
      </c>
      <c r="B11" s="36" t="s">
        <v>15</v>
      </c>
      <c r="C11" s="37">
        <v>1099874823</v>
      </c>
      <c r="D11" s="47">
        <v>21614400</v>
      </c>
      <c r="E11" s="44"/>
      <c r="F11" s="43">
        <f t="shared" si="0"/>
        <v>21614400</v>
      </c>
      <c r="G11" s="41">
        <v>44932</v>
      </c>
      <c r="H11" s="41">
        <v>45291</v>
      </c>
      <c r="I11" s="164">
        <v>1580000</v>
      </c>
      <c r="J11" s="165">
        <f>I11/F11</f>
        <v>7.3099415204678359E-2</v>
      </c>
      <c r="K11" s="164">
        <v>1580000</v>
      </c>
      <c r="L11" s="165">
        <f>(K11+I11)/F11</f>
        <v>0.14619883040935672</v>
      </c>
      <c r="M11" s="164">
        <v>1801200</v>
      </c>
      <c r="N11" s="165">
        <f t="shared" ref="N11:N21" si="19">(M11+K11+I11)/F11</f>
        <v>0.22953216374269006</v>
      </c>
      <c r="O11" s="164">
        <v>1801200</v>
      </c>
      <c r="P11" s="165">
        <f t="shared" ref="P11:P21" si="20">(O11+M11+K11+I11)/F11</f>
        <v>0.3128654970760234</v>
      </c>
      <c r="Q11" s="164">
        <v>1801200</v>
      </c>
      <c r="R11" s="165">
        <f t="shared" si="16"/>
        <v>0.39619883040935672</v>
      </c>
      <c r="S11" s="164">
        <v>1801200</v>
      </c>
      <c r="T11" s="165">
        <f t="shared" si="17"/>
        <v>0.47953216374269003</v>
      </c>
      <c r="U11" s="167">
        <v>2243600</v>
      </c>
      <c r="V11" s="165">
        <f>(I11+K11+M11+O11+Q11+S11+U11)/F11</f>
        <v>0.58333333333333337</v>
      </c>
      <c r="W11" s="164">
        <v>1801200</v>
      </c>
      <c r="X11" s="165">
        <f>(I11+K11+M11+O11+Q11+S11+U11+W11)/F11</f>
        <v>0.66666666666666663</v>
      </c>
      <c r="Y11" s="164">
        <v>1801200</v>
      </c>
      <c r="Z11" s="165">
        <f t="shared" si="18"/>
        <v>0.75</v>
      </c>
      <c r="AA11" s="164">
        <v>1801200</v>
      </c>
      <c r="AB11" s="165">
        <f t="shared" si="1"/>
        <v>0.83333333333333337</v>
      </c>
      <c r="AC11" s="162"/>
      <c r="AD11" s="162"/>
      <c r="AE11" s="162"/>
      <c r="AF11" s="162"/>
      <c r="AG11" s="158">
        <f t="shared" si="2"/>
        <v>18012000</v>
      </c>
      <c r="AH11" s="159">
        <f t="shared" si="3"/>
        <v>0.83333333333333337</v>
      </c>
      <c r="AI11" s="164">
        <v>1580000</v>
      </c>
      <c r="AJ11" s="165">
        <f t="shared" si="4"/>
        <v>7.3099415204678359E-2</v>
      </c>
      <c r="AK11" s="164">
        <v>1580000</v>
      </c>
      <c r="AL11" s="165">
        <f t="shared" si="5"/>
        <v>0.14619883040935672</v>
      </c>
      <c r="AM11" s="164">
        <v>1801200</v>
      </c>
      <c r="AN11" s="165">
        <f t="shared" si="6"/>
        <v>0.22953216374269006</v>
      </c>
      <c r="AO11" s="164">
        <v>1801200</v>
      </c>
      <c r="AP11" s="165">
        <f t="shared" si="7"/>
        <v>0.3128654970760234</v>
      </c>
      <c r="AQ11" s="164">
        <v>1801200</v>
      </c>
      <c r="AR11" s="165">
        <f t="shared" si="8"/>
        <v>0.18787408741669226</v>
      </c>
      <c r="AS11" s="164">
        <v>1801200</v>
      </c>
      <c r="AT11" s="165">
        <f t="shared" si="9"/>
        <v>0.47953216374269003</v>
      </c>
      <c r="AU11" s="167">
        <v>2243600</v>
      </c>
      <c r="AV11" s="165">
        <f t="shared" si="10"/>
        <v>0.58333333333333337</v>
      </c>
      <c r="AW11" s="164">
        <v>1801200</v>
      </c>
      <c r="AX11" s="165">
        <f t="shared" si="11"/>
        <v>0.66666666666666663</v>
      </c>
      <c r="AY11" s="164">
        <v>1801200</v>
      </c>
      <c r="AZ11" s="165">
        <f t="shared" si="12"/>
        <v>0.75</v>
      </c>
      <c r="BA11" s="164">
        <v>1801200</v>
      </c>
      <c r="BB11" s="165">
        <f t="shared" si="13"/>
        <v>0.83333333333333337</v>
      </c>
      <c r="BC11" s="162"/>
      <c r="BD11" s="162"/>
      <c r="BE11" s="162"/>
      <c r="BF11" s="162"/>
      <c r="BG11" s="158">
        <f t="shared" si="14"/>
        <v>18012000</v>
      </c>
    </row>
    <row r="12" spans="1:59" ht="16.5" thickBot="1" x14ac:dyDescent="0.3">
      <c r="A12" s="196" t="s">
        <v>86</v>
      </c>
      <c r="B12" s="36" t="s">
        <v>23</v>
      </c>
      <c r="C12" s="37">
        <v>5596015</v>
      </c>
      <c r="D12" s="47">
        <v>45581592</v>
      </c>
      <c r="E12" s="44"/>
      <c r="F12" s="43">
        <f t="shared" si="0"/>
        <v>45581592</v>
      </c>
      <c r="G12" s="41">
        <v>44932</v>
      </c>
      <c r="H12" s="41">
        <v>45291</v>
      </c>
      <c r="I12" s="167">
        <v>3391488</v>
      </c>
      <c r="J12" s="165">
        <f>I12/D12</f>
        <v>7.440477287410234E-2</v>
      </c>
      <c r="K12" s="167">
        <v>3391488</v>
      </c>
      <c r="L12" s="165">
        <f t="shared" si="15"/>
        <v>0.14880954574820468</v>
      </c>
      <c r="M12" s="174">
        <v>3798466</v>
      </c>
      <c r="N12" s="165">
        <f t="shared" si="19"/>
        <v>0.232142879081538</v>
      </c>
      <c r="O12" s="174">
        <v>3798466</v>
      </c>
      <c r="P12" s="165">
        <f t="shared" si="20"/>
        <v>0.31547621241487134</v>
      </c>
      <c r="Q12" s="167">
        <v>3798466</v>
      </c>
      <c r="R12" s="165">
        <f t="shared" si="16"/>
        <v>0.39880954574820465</v>
      </c>
      <c r="S12" s="167">
        <v>3798466</v>
      </c>
      <c r="T12" s="165">
        <f t="shared" si="17"/>
        <v>0.48214287908153802</v>
      </c>
      <c r="U12" s="167">
        <v>4612422</v>
      </c>
      <c r="V12" s="165">
        <f>(U12+S12+Q12+O12+M12+K12+I12)/F12</f>
        <v>0.58333333333333337</v>
      </c>
      <c r="W12" s="167">
        <v>3798466</v>
      </c>
      <c r="X12" s="165">
        <f>(I12+K12+M12+O12+Q12+S12+U12+W12)/D12</f>
        <v>0.66666666666666663</v>
      </c>
      <c r="Y12" s="167">
        <v>3798466</v>
      </c>
      <c r="Z12" s="165">
        <f t="shared" si="18"/>
        <v>0.75</v>
      </c>
      <c r="AA12" s="167">
        <v>3798466</v>
      </c>
      <c r="AB12" s="165">
        <f t="shared" si="1"/>
        <v>0.83333333333333337</v>
      </c>
      <c r="AC12" s="162"/>
      <c r="AD12" s="162"/>
      <c r="AE12" s="162"/>
      <c r="AF12" s="162"/>
      <c r="AG12" s="158">
        <f t="shared" si="2"/>
        <v>37984660</v>
      </c>
      <c r="AH12" s="159">
        <f t="shared" si="3"/>
        <v>0.83333333333333337</v>
      </c>
      <c r="AI12" s="167">
        <v>3391488</v>
      </c>
      <c r="AJ12" s="165">
        <f t="shared" si="4"/>
        <v>7.440477287410234E-2</v>
      </c>
      <c r="AK12" s="167">
        <v>3391488</v>
      </c>
      <c r="AL12" s="165">
        <f t="shared" si="5"/>
        <v>0.14880954574820468</v>
      </c>
      <c r="AM12" s="174">
        <v>3798466</v>
      </c>
      <c r="AN12" s="165">
        <f t="shared" si="6"/>
        <v>0.232142879081538</v>
      </c>
      <c r="AO12" s="174">
        <v>3798466</v>
      </c>
      <c r="AP12" s="165">
        <f t="shared" si="7"/>
        <v>0.31547621241487134</v>
      </c>
      <c r="AQ12" s="167">
        <v>3798466</v>
      </c>
      <c r="AR12" s="165">
        <f t="shared" si="8"/>
        <v>0.37332346751179218</v>
      </c>
      <c r="AS12" s="167">
        <v>3798466</v>
      </c>
      <c r="AT12" s="165">
        <f t="shared" si="9"/>
        <v>0.48214287908153802</v>
      </c>
      <c r="AU12" s="167">
        <v>4612422</v>
      </c>
      <c r="AV12" s="165">
        <f t="shared" si="10"/>
        <v>0.58333333333333337</v>
      </c>
      <c r="AW12" s="167">
        <v>3798466</v>
      </c>
      <c r="AX12" s="165">
        <f t="shared" si="11"/>
        <v>0.66666666666666663</v>
      </c>
      <c r="AY12" s="167">
        <v>3798466</v>
      </c>
      <c r="AZ12" s="165">
        <f t="shared" si="12"/>
        <v>0.75</v>
      </c>
      <c r="BA12" s="167">
        <v>3798466</v>
      </c>
      <c r="BB12" s="165">
        <f t="shared" si="13"/>
        <v>0.83333333333333337</v>
      </c>
      <c r="BC12" s="162"/>
      <c r="BD12" s="162"/>
      <c r="BE12" s="162"/>
      <c r="BF12" s="162"/>
      <c r="BG12" s="158">
        <f t="shared" si="14"/>
        <v>37984660</v>
      </c>
    </row>
    <row r="13" spans="1:59" ht="16.5" thickBot="1" x14ac:dyDescent="0.3">
      <c r="A13" s="196" t="s">
        <v>87</v>
      </c>
      <c r="B13" s="36" t="s">
        <v>22</v>
      </c>
      <c r="C13" s="37">
        <v>37726337</v>
      </c>
      <c r="D13" s="47">
        <v>37683360</v>
      </c>
      <c r="E13" s="44">
        <v>11010000</v>
      </c>
      <c r="F13" s="43">
        <f>D13+E13</f>
        <v>48693360</v>
      </c>
      <c r="G13" s="41">
        <v>44932</v>
      </c>
      <c r="H13" s="41">
        <v>45291</v>
      </c>
      <c r="I13" s="168">
        <v>2854800</v>
      </c>
      <c r="J13" s="165">
        <f>I13/F13</f>
        <v>5.8628116852071824E-2</v>
      </c>
      <c r="K13" s="168">
        <v>2854800</v>
      </c>
      <c r="L13" s="165">
        <f t="shared" si="15"/>
        <v>0.11725623370414365</v>
      </c>
      <c r="M13" s="175">
        <v>3140280</v>
      </c>
      <c r="N13" s="165">
        <f t="shared" si="19"/>
        <v>0.18174716224142265</v>
      </c>
      <c r="O13" s="175">
        <v>3140280</v>
      </c>
      <c r="P13" s="165">
        <f t="shared" si="20"/>
        <v>0.24623809077870165</v>
      </c>
      <c r="Q13" s="169">
        <v>4516530</v>
      </c>
      <c r="R13" s="165">
        <f>(Q13+O13+M13+K13+I13)/F13</f>
        <v>0.33899262651006218</v>
      </c>
      <c r="S13" s="169">
        <v>4516530</v>
      </c>
      <c r="T13" s="165">
        <f>(S13+Q13+O13+M13+K13+I13)/F13</f>
        <v>0.43174716224142268</v>
      </c>
      <c r="U13" s="167">
        <v>5087490</v>
      </c>
      <c r="V13" s="165">
        <f>(I13+K13+M13+O13+Q13+S13+U13)/F13</f>
        <v>0.5362273213431975</v>
      </c>
      <c r="W13" s="169">
        <v>4516530</v>
      </c>
      <c r="X13" s="165">
        <f>(I13+K13+M13+O13+Q13+S13+U13+W13)/F13</f>
        <v>0.628981857074558</v>
      </c>
      <c r="Y13" s="167">
        <v>4757780</v>
      </c>
      <c r="Z13" s="165">
        <f>(I13+K13+M13+O13+Q13+S13+U13+W13+Y13)/F13</f>
        <v>0.72669086709152952</v>
      </c>
      <c r="AA13" s="167">
        <v>4757780</v>
      </c>
      <c r="AB13" s="165">
        <f t="shared" si="1"/>
        <v>0.82439987710850104</v>
      </c>
      <c r="AC13" s="162"/>
      <c r="AD13" s="162"/>
      <c r="AE13" s="162"/>
      <c r="AF13" s="162"/>
      <c r="AG13" s="158">
        <f t="shared" si="2"/>
        <v>40142800</v>
      </c>
      <c r="AH13" s="159">
        <f t="shared" si="3"/>
        <v>0.82439987710850104</v>
      </c>
      <c r="AI13" s="168">
        <v>2854800</v>
      </c>
      <c r="AJ13" s="165">
        <f t="shared" si="4"/>
        <v>5.8628116852071824E-2</v>
      </c>
      <c r="AK13" s="168">
        <v>2854800</v>
      </c>
      <c r="AL13" s="165">
        <f t="shared" si="5"/>
        <v>0.11725623370414365</v>
      </c>
      <c r="AM13" s="175">
        <v>3140280</v>
      </c>
      <c r="AN13" s="165">
        <f t="shared" si="6"/>
        <v>0.18174716224142265</v>
      </c>
      <c r="AO13" s="175">
        <v>3140280</v>
      </c>
      <c r="AP13" s="165">
        <f t="shared" si="7"/>
        <v>0.24623809077870165</v>
      </c>
      <c r="AQ13" s="169">
        <v>4516530</v>
      </c>
      <c r="AR13" s="165">
        <f t="shared" si="8"/>
        <v>0.44972582747074041</v>
      </c>
      <c r="AS13" s="169">
        <v>4516530</v>
      </c>
      <c r="AT13" s="165">
        <f t="shared" si="9"/>
        <v>0.43174716224142268</v>
      </c>
      <c r="AU13" s="167">
        <v>5087490</v>
      </c>
      <c r="AV13" s="165">
        <f t="shared" si="10"/>
        <v>0.5362273213431975</v>
      </c>
      <c r="AW13" s="169">
        <v>4516530</v>
      </c>
      <c r="AX13" s="165">
        <f t="shared" si="11"/>
        <v>0.628981857074558</v>
      </c>
      <c r="AY13" s="167">
        <v>4757780</v>
      </c>
      <c r="AZ13" s="165">
        <f t="shared" si="12"/>
        <v>0.72669086709152952</v>
      </c>
      <c r="BA13" s="167">
        <v>4757780</v>
      </c>
      <c r="BB13" s="165">
        <f t="shared" si="13"/>
        <v>1.0652659423151227</v>
      </c>
      <c r="BC13" s="162"/>
      <c r="BD13" s="162"/>
      <c r="BE13" s="162"/>
      <c r="BF13" s="162"/>
      <c r="BG13" s="158">
        <f t="shared" si="14"/>
        <v>40142800</v>
      </c>
    </row>
    <row r="14" spans="1:59" ht="16.5" thickBot="1" x14ac:dyDescent="0.3">
      <c r="A14" s="196" t="s">
        <v>89</v>
      </c>
      <c r="B14" s="36" t="s">
        <v>24</v>
      </c>
      <c r="C14" s="37">
        <v>1098795842</v>
      </c>
      <c r="D14" s="47">
        <v>36703896</v>
      </c>
      <c r="E14" s="44"/>
      <c r="F14" s="43">
        <f t="shared" si="0"/>
        <v>36703896</v>
      </c>
      <c r="G14" s="41">
        <v>44932</v>
      </c>
      <c r="H14" s="41">
        <v>45291</v>
      </c>
      <c r="I14" s="167">
        <v>2755548</v>
      </c>
      <c r="J14" s="165">
        <f>I14/D14</f>
        <v>7.5075081947703862E-2</v>
      </c>
      <c r="K14" s="167">
        <v>2755548</v>
      </c>
      <c r="L14" s="165">
        <f t="shared" si="15"/>
        <v>0.15015016389540772</v>
      </c>
      <c r="M14" s="174">
        <v>3664878</v>
      </c>
      <c r="N14" s="165">
        <f t="shared" si="19"/>
        <v>0.25</v>
      </c>
      <c r="O14" s="174">
        <v>1800000</v>
      </c>
      <c r="P14" s="165">
        <f>(O14+M14+K14+I14)/F14</f>
        <v>0.29904111541728429</v>
      </c>
      <c r="Q14" s="164"/>
      <c r="R14" s="165"/>
      <c r="S14" s="164"/>
      <c r="T14" s="165"/>
      <c r="U14" s="164"/>
      <c r="V14" s="165"/>
      <c r="W14" s="164"/>
      <c r="X14" s="165"/>
      <c r="Y14" s="164"/>
      <c r="Z14" s="165"/>
      <c r="AA14" s="166"/>
      <c r="AB14" s="166"/>
      <c r="AC14" s="162"/>
      <c r="AD14" s="162"/>
      <c r="AE14" s="162"/>
      <c r="AF14" s="162"/>
      <c r="AG14" s="158">
        <f t="shared" si="2"/>
        <v>10975974</v>
      </c>
      <c r="AH14" s="159">
        <f t="shared" si="3"/>
        <v>0.29904111541728429</v>
      </c>
      <c r="AI14" s="167">
        <v>2755548</v>
      </c>
      <c r="AJ14" s="165">
        <f t="shared" si="4"/>
        <v>7.5075081947703862E-2</v>
      </c>
      <c r="AK14" s="167">
        <v>2755548</v>
      </c>
      <c r="AL14" s="165">
        <f t="shared" si="5"/>
        <v>0.15015016389540772</v>
      </c>
      <c r="AM14" s="174">
        <v>3664878</v>
      </c>
      <c r="AN14" s="165">
        <f t="shared" si="6"/>
        <v>0.25</v>
      </c>
      <c r="AO14" s="174">
        <v>1800000</v>
      </c>
      <c r="AP14" s="165">
        <f t="shared" si="7"/>
        <v>0.29904111541728429</v>
      </c>
      <c r="AQ14" s="164"/>
      <c r="AR14" s="165">
        <f t="shared" si="8"/>
        <v>0.46236275679391781</v>
      </c>
      <c r="AS14" s="164"/>
      <c r="AT14" s="165">
        <f t="shared" si="9"/>
        <v>0.29904111541728429</v>
      </c>
      <c r="AU14" s="164"/>
      <c r="AV14" s="165">
        <f t="shared" si="10"/>
        <v>0.29904111541728429</v>
      </c>
      <c r="AW14" s="164"/>
      <c r="AX14" s="165">
        <f t="shared" si="11"/>
        <v>0.29904111541728429</v>
      </c>
      <c r="AY14" s="164"/>
      <c r="AZ14" s="165">
        <f t="shared" si="12"/>
        <v>0.29904111541728429</v>
      </c>
      <c r="BA14" s="166"/>
      <c r="BB14" s="165">
        <f t="shared" si="13"/>
        <v>0.29904111541728429</v>
      </c>
      <c r="BC14" s="162"/>
      <c r="BD14" s="162"/>
      <c r="BE14" s="162"/>
      <c r="BF14" s="162"/>
      <c r="BG14" s="158">
        <f t="shared" si="14"/>
        <v>10975974</v>
      </c>
    </row>
    <row r="15" spans="1:59" ht="16.5" thickBot="1" x14ac:dyDescent="0.3">
      <c r="A15" s="196" t="s">
        <v>90</v>
      </c>
      <c r="B15" s="36" t="s">
        <v>21</v>
      </c>
      <c r="C15" s="37">
        <v>63347214</v>
      </c>
      <c r="D15" s="47">
        <v>23738880</v>
      </c>
      <c r="E15" s="44"/>
      <c r="F15" s="43">
        <f t="shared" si="0"/>
        <v>23738880</v>
      </c>
      <c r="G15" s="41">
        <v>44932</v>
      </c>
      <c r="H15" s="41">
        <v>45291</v>
      </c>
      <c r="I15" s="167">
        <v>1878400</v>
      </c>
      <c r="J15" s="165">
        <f>I15/F15</f>
        <v>7.9127574679176096E-2</v>
      </c>
      <c r="K15" s="167">
        <v>1878400</v>
      </c>
      <c r="L15" s="165">
        <f t="shared" si="15"/>
        <v>0.15825514935835219</v>
      </c>
      <c r="M15" s="174">
        <v>1978240</v>
      </c>
      <c r="N15" s="165">
        <f t="shared" si="19"/>
        <v>0.24158848269168554</v>
      </c>
      <c r="O15" s="174">
        <v>1978240</v>
      </c>
      <c r="P15" s="165">
        <f t="shared" si="20"/>
        <v>0.32492181602501885</v>
      </c>
      <c r="Q15" s="167">
        <v>1978240</v>
      </c>
      <c r="R15" s="165">
        <f t="shared" si="16"/>
        <v>0.40825514935835222</v>
      </c>
      <c r="S15" s="167">
        <v>1978240</v>
      </c>
      <c r="T15" s="165">
        <f t="shared" si="17"/>
        <v>0.49158848269168554</v>
      </c>
      <c r="U15" s="167">
        <v>2497920</v>
      </c>
      <c r="V15" s="165">
        <f>(I15+K15+M15+O15+Q15+S15+U15)/F15</f>
        <v>0.59681332901973472</v>
      </c>
      <c r="W15" s="167">
        <v>2058240</v>
      </c>
      <c r="X15" s="165">
        <f>(I15+K15+M15+O15+Q15+S15+U15+W15)/F15</f>
        <v>0.68351666127466837</v>
      </c>
      <c r="Y15" s="167">
        <v>2058240</v>
      </c>
      <c r="Z15" s="165">
        <f t="shared" si="18"/>
        <v>0.77021999352960202</v>
      </c>
      <c r="AA15" s="167">
        <v>1978240</v>
      </c>
      <c r="AB15" s="165">
        <f t="shared" ref="AB15:AB22" si="21">SUM(AA15,Y15,W15,U15,S15,Q15,O15,M15,K15,I15)/F15</f>
        <v>0.85355332686293539</v>
      </c>
      <c r="AC15" s="162"/>
      <c r="AD15" s="162"/>
      <c r="AE15" s="162"/>
      <c r="AF15" s="162"/>
      <c r="AG15" s="158">
        <f>SUM(I15,K15,M15,O15,Q15,S15,U15,W15,Y15,AA15,AC15,AE15)</f>
        <v>20262400</v>
      </c>
      <c r="AH15" s="159">
        <f t="shared" si="3"/>
        <v>0.85355332686293539</v>
      </c>
      <c r="AI15" s="167">
        <v>1878400</v>
      </c>
      <c r="AJ15" s="165">
        <f t="shared" si="4"/>
        <v>7.9127574679176096E-2</v>
      </c>
      <c r="AK15" s="167">
        <v>1878400</v>
      </c>
      <c r="AL15" s="165">
        <f t="shared" si="5"/>
        <v>0.15825514935835219</v>
      </c>
      <c r="AM15" s="174">
        <v>1978240</v>
      </c>
      <c r="AN15" s="165">
        <f t="shared" si="6"/>
        <v>0.24158848269168554</v>
      </c>
      <c r="AO15" s="174">
        <v>1978240</v>
      </c>
      <c r="AP15" s="165">
        <f t="shared" si="7"/>
        <v>0.32492181602501885</v>
      </c>
      <c r="AQ15" s="167">
        <v>1978240</v>
      </c>
      <c r="AR15" s="165">
        <f t="shared" si="8"/>
        <v>0.51375219251373183</v>
      </c>
      <c r="AS15" s="167">
        <v>1978240</v>
      </c>
      <c r="AT15" s="165">
        <f t="shared" si="9"/>
        <v>0.49158848269168554</v>
      </c>
      <c r="AU15" s="167">
        <v>2497920</v>
      </c>
      <c r="AV15" s="165">
        <f t="shared" si="10"/>
        <v>0.59681332901973472</v>
      </c>
      <c r="AW15" s="167">
        <v>2058240</v>
      </c>
      <c r="AX15" s="165">
        <f t="shared" si="11"/>
        <v>0.68351666127466837</v>
      </c>
      <c r="AY15" s="167">
        <v>2058240</v>
      </c>
      <c r="AZ15" s="165">
        <f t="shared" si="12"/>
        <v>0.77021999352960202</v>
      </c>
      <c r="BA15" s="167">
        <v>2058240</v>
      </c>
      <c r="BB15" s="165">
        <f t="shared" si="13"/>
        <v>0.85692332578453578</v>
      </c>
      <c r="BC15" s="162"/>
      <c r="BD15" s="162"/>
      <c r="BE15" s="162"/>
      <c r="BF15" s="162"/>
      <c r="BG15" s="158">
        <f>SUM(AI15,AK15,AM15,AO15,AQ15,AS15,AU15,AW15,AY15,BA15,BC15,BE15)</f>
        <v>20342400</v>
      </c>
    </row>
    <row r="16" spans="1:59" ht="16.5" thickBot="1" x14ac:dyDescent="0.3">
      <c r="A16" s="196" t="s">
        <v>92</v>
      </c>
      <c r="B16" s="36" t="s">
        <v>27</v>
      </c>
      <c r="C16" s="37">
        <v>63493347</v>
      </c>
      <c r="D16" s="47">
        <v>18864192</v>
      </c>
      <c r="E16" s="44"/>
      <c r="F16" s="43">
        <f t="shared" si="0"/>
        <v>18864192</v>
      </c>
      <c r="G16" s="41">
        <v>44932</v>
      </c>
      <c r="H16" s="41">
        <v>45291</v>
      </c>
      <c r="I16" s="167">
        <v>1309360</v>
      </c>
      <c r="J16" s="165">
        <f>I16/D16</f>
        <v>6.9409810926436707E-2</v>
      </c>
      <c r="K16" s="167">
        <v>1309360</v>
      </c>
      <c r="L16" s="165">
        <f t="shared" si="15"/>
        <v>0.13881962185287341</v>
      </c>
      <c r="M16" s="174">
        <v>1572016</v>
      </c>
      <c r="N16" s="165">
        <f t="shared" si="19"/>
        <v>0.22215295518620676</v>
      </c>
      <c r="O16" s="174">
        <v>1572016</v>
      </c>
      <c r="P16" s="165">
        <f t="shared" si="20"/>
        <v>0.30548628851954007</v>
      </c>
      <c r="Q16" s="167">
        <v>1572016</v>
      </c>
      <c r="R16" s="165">
        <f t="shared" si="16"/>
        <v>0.38881962185287344</v>
      </c>
      <c r="S16" s="167">
        <v>1572016</v>
      </c>
      <c r="T16" s="165">
        <f t="shared" si="17"/>
        <v>0.47215295518620676</v>
      </c>
      <c r="U16" s="167">
        <v>2005674</v>
      </c>
      <c r="V16" s="165">
        <f>(U16+S16+Q16+O16+M16+K16+I16)/F16</f>
        <v>0.57847471018106689</v>
      </c>
      <c r="W16" s="167">
        <v>1572016</v>
      </c>
      <c r="X16" s="165">
        <f>(I16+K16+M16+O16+Q16+S16+U16+W16)/D16</f>
        <v>0.66180804351440015</v>
      </c>
      <c r="Y16" s="167">
        <v>1572016</v>
      </c>
      <c r="Z16" s="165">
        <f t="shared" si="18"/>
        <v>0.74514137684773352</v>
      </c>
      <c r="AA16" s="167">
        <v>1572016</v>
      </c>
      <c r="AB16" s="165">
        <f t="shared" si="21"/>
        <v>0.82847471018106689</v>
      </c>
      <c r="AC16" s="205"/>
      <c r="AD16" s="162"/>
      <c r="AE16" s="205"/>
      <c r="AF16" s="162"/>
      <c r="AG16" s="158">
        <f t="shared" si="2"/>
        <v>15628506</v>
      </c>
      <c r="AH16" s="159">
        <f t="shared" si="3"/>
        <v>0.82847471018106689</v>
      </c>
      <c r="AI16" s="167">
        <v>1309360</v>
      </c>
      <c r="AJ16" s="165">
        <f t="shared" si="4"/>
        <v>6.9409810926436707E-2</v>
      </c>
      <c r="AK16" s="167">
        <v>1309360</v>
      </c>
      <c r="AL16" s="165">
        <f t="shared" si="5"/>
        <v>0.13881962185287341</v>
      </c>
      <c r="AM16" s="174">
        <v>1572016</v>
      </c>
      <c r="AN16" s="165">
        <f t="shared" si="6"/>
        <v>0.22215295518620676</v>
      </c>
      <c r="AO16" s="174">
        <v>1572016</v>
      </c>
      <c r="AP16" s="165">
        <f t="shared" si="7"/>
        <v>0.30548628851954007</v>
      </c>
      <c r="AQ16" s="167">
        <v>1572016</v>
      </c>
      <c r="AR16" s="165">
        <f t="shared" si="8"/>
        <v>0.38881962185287344</v>
      </c>
      <c r="AS16" s="167">
        <v>1572016</v>
      </c>
      <c r="AT16" s="165">
        <f t="shared" si="9"/>
        <v>0.47215295518620676</v>
      </c>
      <c r="AU16" s="167">
        <v>2005674</v>
      </c>
      <c r="AV16" s="165">
        <f t="shared" si="10"/>
        <v>0.57847471018106689</v>
      </c>
      <c r="AW16" s="167">
        <v>1572016</v>
      </c>
      <c r="AX16" s="165">
        <f t="shared" si="11"/>
        <v>0.66180804351440015</v>
      </c>
      <c r="AY16" s="167">
        <v>1572016</v>
      </c>
      <c r="AZ16" s="165">
        <f t="shared" si="12"/>
        <v>0.74514137684773352</v>
      </c>
      <c r="BA16" s="167">
        <v>1572016</v>
      </c>
      <c r="BB16" s="165">
        <f t="shared" si="13"/>
        <v>0.82847471018106689</v>
      </c>
      <c r="BC16" s="205"/>
      <c r="BD16" s="162"/>
      <c r="BE16" s="205"/>
      <c r="BF16" s="162"/>
      <c r="BG16" s="158">
        <f t="shared" ref="BG16:BG35" si="22">SUM(AI16,AK16,AM16,AO16,AQ16,AS16,AU16,AW16,AY16,BA16,BC16,BE16)</f>
        <v>15628506</v>
      </c>
    </row>
    <row r="17" spans="1:59" ht="16.5" thickBot="1" x14ac:dyDescent="0.3">
      <c r="A17" s="196" t="s">
        <v>93</v>
      </c>
      <c r="B17" s="36" t="s">
        <v>71</v>
      </c>
      <c r="C17" s="37">
        <v>1099874363</v>
      </c>
      <c r="D17" s="47">
        <v>18864192</v>
      </c>
      <c r="E17" s="44"/>
      <c r="F17" s="43">
        <f t="shared" si="0"/>
        <v>18864192</v>
      </c>
      <c r="G17" s="41">
        <v>44932</v>
      </c>
      <c r="H17" s="41">
        <v>45291</v>
      </c>
      <c r="I17" s="170">
        <v>1309360</v>
      </c>
      <c r="J17" s="165">
        <f>I17/F17</f>
        <v>6.9409810926436707E-2</v>
      </c>
      <c r="K17" s="170">
        <v>1309360</v>
      </c>
      <c r="L17" s="165">
        <f t="shared" si="15"/>
        <v>0.13881962185287341</v>
      </c>
      <c r="M17" s="176">
        <v>1572016</v>
      </c>
      <c r="N17" s="165">
        <f t="shared" si="19"/>
        <v>0.22215295518620676</v>
      </c>
      <c r="O17" s="176">
        <v>1572016</v>
      </c>
      <c r="P17" s="165">
        <f t="shared" si="20"/>
        <v>0.30548628851954007</v>
      </c>
      <c r="Q17" s="170">
        <v>1572016</v>
      </c>
      <c r="R17" s="165">
        <f t="shared" si="16"/>
        <v>0.38881962185287344</v>
      </c>
      <c r="S17" s="170">
        <v>1572016</v>
      </c>
      <c r="T17" s="165">
        <f t="shared" si="17"/>
        <v>0.47215295518620676</v>
      </c>
      <c r="U17" s="167">
        <v>2097328</v>
      </c>
      <c r="V17" s="165">
        <f>(I17+K17+M17+O17+Q17+S17+U17)/F17</f>
        <v>0.58333333333333337</v>
      </c>
      <c r="W17" s="170">
        <v>1572016</v>
      </c>
      <c r="X17" s="165">
        <f>(I17+K17+M17+O17+Q17+S17+U17+W17)/F17</f>
        <v>0.66666666666666663</v>
      </c>
      <c r="Y17" s="170">
        <v>1572016</v>
      </c>
      <c r="Z17" s="165">
        <f t="shared" si="18"/>
        <v>0.75</v>
      </c>
      <c r="AA17" s="170">
        <v>1572016</v>
      </c>
      <c r="AB17" s="165">
        <f t="shared" si="21"/>
        <v>0.83333333333333337</v>
      </c>
      <c r="AC17" s="205"/>
      <c r="AD17" s="162"/>
      <c r="AE17" s="205"/>
      <c r="AF17" s="162"/>
      <c r="AG17" s="158">
        <f t="shared" si="2"/>
        <v>15720160</v>
      </c>
      <c r="AH17" s="159">
        <f t="shared" si="3"/>
        <v>0.83333333333333337</v>
      </c>
      <c r="AI17" s="170">
        <v>1309360</v>
      </c>
      <c r="AJ17" s="165">
        <f t="shared" si="4"/>
        <v>6.9409810926436707E-2</v>
      </c>
      <c r="AK17" s="170">
        <v>1309360</v>
      </c>
      <c r="AL17" s="165">
        <f t="shared" si="5"/>
        <v>0.13881962185287341</v>
      </c>
      <c r="AM17" s="176">
        <v>1572016</v>
      </c>
      <c r="AN17" s="165">
        <f t="shared" si="6"/>
        <v>0.22215295518620676</v>
      </c>
      <c r="AO17" s="176">
        <v>1572016</v>
      </c>
      <c r="AP17" s="165">
        <f t="shared" si="7"/>
        <v>0.30548628851954007</v>
      </c>
      <c r="AQ17" s="170">
        <v>1572016</v>
      </c>
      <c r="AR17" s="165">
        <f t="shared" si="8"/>
        <v>0.31950601718338978</v>
      </c>
      <c r="AS17" s="170">
        <v>1572016</v>
      </c>
      <c r="AT17" s="165">
        <f t="shared" si="9"/>
        <v>0.47215295518620676</v>
      </c>
      <c r="AU17" s="167">
        <v>2097328</v>
      </c>
      <c r="AV17" s="165">
        <f t="shared" si="10"/>
        <v>0.58333333333333337</v>
      </c>
      <c r="AW17" s="170">
        <v>1572016</v>
      </c>
      <c r="AX17" s="165">
        <f t="shared" si="11"/>
        <v>0.66666666666666663</v>
      </c>
      <c r="AY17" s="170">
        <v>1572016</v>
      </c>
      <c r="AZ17" s="165">
        <f t="shared" si="12"/>
        <v>0.75</v>
      </c>
      <c r="BA17" s="170">
        <v>1572016</v>
      </c>
      <c r="BB17" s="165">
        <f t="shared" si="13"/>
        <v>0.83333333333333337</v>
      </c>
      <c r="BC17" s="205"/>
      <c r="BD17" s="162"/>
      <c r="BE17" s="205"/>
      <c r="BF17" s="162"/>
      <c r="BG17" s="158">
        <f t="shared" si="22"/>
        <v>15720160</v>
      </c>
    </row>
    <row r="18" spans="1:59" ht="16.5" thickBot="1" x14ac:dyDescent="0.3">
      <c r="A18" s="196" t="s">
        <v>94</v>
      </c>
      <c r="B18" s="36" t="s">
        <v>28</v>
      </c>
      <c r="C18" s="37">
        <v>1099874596</v>
      </c>
      <c r="D18" s="47">
        <v>22956588</v>
      </c>
      <c r="E18" s="44"/>
      <c r="F18" s="43">
        <f t="shared" si="0"/>
        <v>22956588</v>
      </c>
      <c r="G18" s="41">
        <v>44932</v>
      </c>
      <c r="H18" s="41">
        <v>45291</v>
      </c>
      <c r="I18" s="167">
        <v>1718400</v>
      </c>
      <c r="J18" s="165">
        <f>I18/D18</f>
        <v>7.4854329397731054E-2</v>
      </c>
      <c r="K18" s="167">
        <v>1718400</v>
      </c>
      <c r="L18" s="165">
        <f t="shared" si="15"/>
        <v>0.14970865879546211</v>
      </c>
      <c r="M18" s="176">
        <v>1913049</v>
      </c>
      <c r="N18" s="165">
        <f t="shared" si="19"/>
        <v>0.23304199212879545</v>
      </c>
      <c r="O18" s="176">
        <v>1913049</v>
      </c>
      <c r="P18" s="165">
        <f t="shared" si="20"/>
        <v>0.31637532546212876</v>
      </c>
      <c r="Q18" s="170">
        <v>1913049</v>
      </c>
      <c r="R18" s="165">
        <f t="shared" si="16"/>
        <v>0.39970865879546214</v>
      </c>
      <c r="S18" s="170">
        <v>1913049</v>
      </c>
      <c r="T18" s="165">
        <f t="shared" si="17"/>
        <v>0.48304199212879545</v>
      </c>
      <c r="U18" s="167">
        <v>2302347</v>
      </c>
      <c r="V18" s="165">
        <f>(U18+S18+Q18+O18+M18+K18+I18)/F18</f>
        <v>0.58333333333333337</v>
      </c>
      <c r="W18" s="170">
        <v>1913049</v>
      </c>
      <c r="X18" s="165">
        <f>(I18+K18+M18+O18+Q18+S18+U18+W18)/D18</f>
        <v>0.66666666666666663</v>
      </c>
      <c r="Y18" s="170">
        <v>1913049</v>
      </c>
      <c r="Z18" s="165">
        <f t="shared" si="18"/>
        <v>0.75</v>
      </c>
      <c r="AA18" s="170">
        <v>1913049</v>
      </c>
      <c r="AB18" s="165">
        <f t="shared" si="21"/>
        <v>0.83333333333333337</v>
      </c>
      <c r="AC18" s="162"/>
      <c r="AD18" s="162"/>
      <c r="AE18" s="162"/>
      <c r="AF18" s="162"/>
      <c r="AG18" s="158">
        <f t="shared" si="2"/>
        <v>19130490</v>
      </c>
      <c r="AH18" s="159">
        <f t="shared" si="3"/>
        <v>0.83333333333333337</v>
      </c>
      <c r="AI18" s="167">
        <v>1718400</v>
      </c>
      <c r="AJ18" s="165">
        <f t="shared" si="4"/>
        <v>7.4854329397731054E-2</v>
      </c>
      <c r="AK18" s="167">
        <v>1718400</v>
      </c>
      <c r="AL18" s="165">
        <f t="shared" si="5"/>
        <v>0.14970865879546211</v>
      </c>
      <c r="AM18" s="176">
        <v>1913049</v>
      </c>
      <c r="AN18" s="165">
        <f t="shared" si="6"/>
        <v>0.23304199212879545</v>
      </c>
      <c r="AO18" s="176">
        <v>1913049</v>
      </c>
      <c r="AP18" s="165">
        <f t="shared" si="7"/>
        <v>0.31637532546212876</v>
      </c>
      <c r="AQ18" s="170">
        <v>1913049</v>
      </c>
      <c r="AR18" s="165">
        <f t="shared" si="8"/>
        <v>0.53620697755631253</v>
      </c>
      <c r="AS18" s="170">
        <v>1913049</v>
      </c>
      <c r="AT18" s="165">
        <f t="shared" si="9"/>
        <v>0.48304199212879545</v>
      </c>
      <c r="AU18" s="167">
        <v>2302347</v>
      </c>
      <c r="AV18" s="165">
        <f t="shared" si="10"/>
        <v>0.58333333333333337</v>
      </c>
      <c r="AW18" s="170">
        <v>1913049</v>
      </c>
      <c r="AX18" s="165">
        <f t="shared" si="11"/>
        <v>0.66666666666666663</v>
      </c>
      <c r="AY18" s="170">
        <v>1913049</v>
      </c>
      <c r="AZ18" s="165">
        <f t="shared" si="12"/>
        <v>0.75</v>
      </c>
      <c r="BA18" s="170">
        <v>1913049</v>
      </c>
      <c r="BB18" s="165">
        <f t="shared" si="13"/>
        <v>0.83333333333333337</v>
      </c>
      <c r="BC18" s="162"/>
      <c r="BD18" s="162"/>
      <c r="BE18" s="162"/>
      <c r="BF18" s="162"/>
      <c r="BG18" s="158">
        <f t="shared" si="22"/>
        <v>19130490</v>
      </c>
    </row>
    <row r="19" spans="1:59" ht="16.5" thickBot="1" x14ac:dyDescent="0.3">
      <c r="A19" s="196" t="s">
        <v>95</v>
      </c>
      <c r="B19" s="36" t="s">
        <v>72</v>
      </c>
      <c r="C19" s="37">
        <v>1099874770</v>
      </c>
      <c r="D19" s="47">
        <v>17112696</v>
      </c>
      <c r="E19" s="44"/>
      <c r="F19" s="43">
        <f t="shared" si="0"/>
        <v>17112696</v>
      </c>
      <c r="G19" s="41">
        <v>44932</v>
      </c>
      <c r="H19" s="41">
        <v>45291</v>
      </c>
      <c r="I19" s="170">
        <v>1309360</v>
      </c>
      <c r="J19" s="171">
        <f>I19/F19</f>
        <v>7.6513951980447734E-2</v>
      </c>
      <c r="K19" s="170">
        <v>1309360</v>
      </c>
      <c r="L19" s="165">
        <f t="shared" si="15"/>
        <v>0.15302790396089547</v>
      </c>
      <c r="M19" s="174">
        <v>1426058</v>
      </c>
      <c r="N19" s="165">
        <f t="shared" si="19"/>
        <v>0.23636123729422881</v>
      </c>
      <c r="O19" s="174">
        <v>1426058</v>
      </c>
      <c r="P19" s="165">
        <f t="shared" si="20"/>
        <v>0.31969457062756212</v>
      </c>
      <c r="Q19" s="167">
        <v>1426058</v>
      </c>
      <c r="R19" s="165">
        <f>(Q19+O19+M19+K19+I19)/F19</f>
        <v>0.40302790396089544</v>
      </c>
      <c r="S19" s="167">
        <v>1426058</v>
      </c>
      <c r="T19" s="165">
        <f t="shared" si="17"/>
        <v>0.48636123729422881</v>
      </c>
      <c r="U19" s="167">
        <v>1659454</v>
      </c>
      <c r="V19" s="165">
        <f>(I19+K19+M19+O19+Q19+S19+U19)/F19</f>
        <v>0.58333333333333337</v>
      </c>
      <c r="W19" s="167">
        <v>1426058</v>
      </c>
      <c r="X19" s="165">
        <f>(I19+K19+M19+O19+Q19+S19+U19+W19)/F19</f>
        <v>0.66666666666666663</v>
      </c>
      <c r="Y19" s="167">
        <v>1426058</v>
      </c>
      <c r="Z19" s="165">
        <f t="shared" si="18"/>
        <v>0.75</v>
      </c>
      <c r="AA19" s="167">
        <v>1426058</v>
      </c>
      <c r="AB19" s="165">
        <f t="shared" si="21"/>
        <v>0.83333333333333337</v>
      </c>
      <c r="AC19" s="162"/>
      <c r="AD19" s="162"/>
      <c r="AE19" s="162"/>
      <c r="AF19" s="162"/>
      <c r="AG19" s="158">
        <f t="shared" si="2"/>
        <v>14260580</v>
      </c>
      <c r="AH19" s="159">
        <f t="shared" si="3"/>
        <v>0.83333333333333337</v>
      </c>
      <c r="AI19" s="170">
        <v>1309360</v>
      </c>
      <c r="AJ19" s="165">
        <f t="shared" si="4"/>
        <v>7.6513951980447734E-2</v>
      </c>
      <c r="AK19" s="170">
        <v>1309360</v>
      </c>
      <c r="AL19" s="165">
        <f t="shared" si="5"/>
        <v>0.15302790396089547</v>
      </c>
      <c r="AM19" s="174">
        <v>1426058</v>
      </c>
      <c r="AN19" s="165">
        <f t="shared" si="6"/>
        <v>0.23636123729422881</v>
      </c>
      <c r="AO19" s="174">
        <v>1426058</v>
      </c>
      <c r="AP19" s="165">
        <f t="shared" si="7"/>
        <v>0.31969457062756212</v>
      </c>
      <c r="AQ19" s="167">
        <v>1426058</v>
      </c>
      <c r="AR19" s="165">
        <f t="shared" si="8"/>
        <v>0.40302790396089544</v>
      </c>
      <c r="AS19" s="167">
        <v>1426058</v>
      </c>
      <c r="AT19" s="165">
        <f t="shared" si="9"/>
        <v>0.48636123729422881</v>
      </c>
      <c r="AU19" s="167">
        <v>1659454</v>
      </c>
      <c r="AV19" s="165">
        <f t="shared" si="10"/>
        <v>0.58333333333333337</v>
      </c>
      <c r="AW19" s="167">
        <v>1426058</v>
      </c>
      <c r="AX19" s="165">
        <f t="shared" si="11"/>
        <v>0.66666666666666663</v>
      </c>
      <c r="AY19" s="167">
        <v>1426058</v>
      </c>
      <c r="AZ19" s="165">
        <f t="shared" si="12"/>
        <v>0.75</v>
      </c>
      <c r="BA19" s="167">
        <v>1426058</v>
      </c>
      <c r="BB19" s="165">
        <f t="shared" si="13"/>
        <v>0.83333333333333337</v>
      </c>
      <c r="BC19" s="162"/>
      <c r="BD19" s="162"/>
      <c r="BE19" s="162"/>
      <c r="BF19" s="162"/>
      <c r="BG19" s="158">
        <f t="shared" si="22"/>
        <v>14260580</v>
      </c>
    </row>
    <row r="20" spans="1:59" ht="16.5" thickBot="1" x14ac:dyDescent="0.3">
      <c r="A20" s="196" t="s">
        <v>96</v>
      </c>
      <c r="B20" s="36" t="s">
        <v>65</v>
      </c>
      <c r="C20" s="37">
        <v>28024037</v>
      </c>
      <c r="D20" s="47">
        <v>17112696</v>
      </c>
      <c r="E20" s="44"/>
      <c r="F20" s="43">
        <f t="shared" si="0"/>
        <v>17112696</v>
      </c>
      <c r="G20" s="41">
        <v>44932</v>
      </c>
      <c r="H20" s="41">
        <v>45291</v>
      </c>
      <c r="I20" s="167">
        <v>1309360</v>
      </c>
      <c r="J20" s="165">
        <f>I20/D20</f>
        <v>7.6513951980447734E-2</v>
      </c>
      <c r="K20" s="167">
        <v>1309360</v>
      </c>
      <c r="L20" s="165">
        <f t="shared" si="15"/>
        <v>0.15302790396089547</v>
      </c>
      <c r="M20" s="174">
        <v>1426058</v>
      </c>
      <c r="N20" s="165">
        <f t="shared" si="19"/>
        <v>0.23636123729422881</v>
      </c>
      <c r="O20" s="174">
        <v>1426058</v>
      </c>
      <c r="P20" s="165">
        <f t="shared" si="20"/>
        <v>0.31969457062756212</v>
      </c>
      <c r="Q20" s="167">
        <v>1426058</v>
      </c>
      <c r="R20" s="165">
        <f t="shared" si="16"/>
        <v>0.40302790396089544</v>
      </c>
      <c r="S20" s="167">
        <v>1426058</v>
      </c>
      <c r="T20" s="165">
        <f t="shared" si="17"/>
        <v>0.48636123729422881</v>
      </c>
      <c r="U20" s="167">
        <v>1659454</v>
      </c>
      <c r="V20" s="165">
        <f>(U20+S20+Q20+O20+M20+K20+I20)/F20</f>
        <v>0.58333333333333337</v>
      </c>
      <c r="W20" s="167">
        <v>1426058</v>
      </c>
      <c r="X20" s="165">
        <f>(I20+K20+M20+O20+Q20+S20+U20+W20)/D20</f>
        <v>0.66666666666666663</v>
      </c>
      <c r="Y20" s="167">
        <v>1426058</v>
      </c>
      <c r="Z20" s="165">
        <f t="shared" si="18"/>
        <v>0.75</v>
      </c>
      <c r="AA20" s="167">
        <v>1426058</v>
      </c>
      <c r="AB20" s="165">
        <f t="shared" si="21"/>
        <v>0.83333333333333337</v>
      </c>
      <c r="AC20" s="162"/>
      <c r="AD20" s="162"/>
      <c r="AE20" s="162"/>
      <c r="AF20" s="162"/>
      <c r="AG20" s="158">
        <f t="shared" si="2"/>
        <v>14260580</v>
      </c>
      <c r="AH20" s="159">
        <f t="shared" si="3"/>
        <v>0.83333333333333337</v>
      </c>
      <c r="AI20" s="167">
        <v>1309360</v>
      </c>
      <c r="AJ20" s="165">
        <f t="shared" si="4"/>
        <v>7.6513951980447734E-2</v>
      </c>
      <c r="AK20" s="167">
        <v>1309360</v>
      </c>
      <c r="AL20" s="165">
        <f t="shared" si="5"/>
        <v>0.15302790396089547</v>
      </c>
      <c r="AM20" s="174">
        <v>1426058</v>
      </c>
      <c r="AN20" s="165">
        <f t="shared" si="6"/>
        <v>0.23636123729422881</v>
      </c>
      <c r="AO20" s="174">
        <v>1426058</v>
      </c>
      <c r="AP20" s="165">
        <f t="shared" si="7"/>
        <v>0.31969457062756212</v>
      </c>
      <c r="AQ20" s="167">
        <v>1426058</v>
      </c>
      <c r="AR20" s="165">
        <f t="shared" si="8"/>
        <v>0.3464132592378289</v>
      </c>
      <c r="AS20" s="167">
        <v>1426058</v>
      </c>
      <c r="AT20" s="165">
        <f t="shared" si="9"/>
        <v>0.48636123729422881</v>
      </c>
      <c r="AU20" s="167">
        <v>1659454</v>
      </c>
      <c r="AV20" s="165">
        <f t="shared" si="10"/>
        <v>0.58333333333333337</v>
      </c>
      <c r="AW20" s="167">
        <v>1426058</v>
      </c>
      <c r="AX20" s="165">
        <f t="shared" si="11"/>
        <v>0.66666666666666663</v>
      </c>
      <c r="AY20" s="167">
        <v>1426058</v>
      </c>
      <c r="AZ20" s="165">
        <f t="shared" si="12"/>
        <v>0.75</v>
      </c>
      <c r="BA20" s="167">
        <v>1426058</v>
      </c>
      <c r="BB20" s="165">
        <f t="shared" si="13"/>
        <v>0.83333333333333337</v>
      </c>
      <c r="BC20" s="162"/>
      <c r="BD20" s="162"/>
      <c r="BE20" s="162"/>
      <c r="BF20" s="162"/>
      <c r="BG20" s="158">
        <f t="shared" si="22"/>
        <v>14260580</v>
      </c>
    </row>
    <row r="21" spans="1:59" ht="16.5" thickBot="1" x14ac:dyDescent="0.3">
      <c r="A21" s="196" t="s">
        <v>97</v>
      </c>
      <c r="B21" s="36" t="s">
        <v>10</v>
      </c>
      <c r="C21" s="37">
        <v>1098735443</v>
      </c>
      <c r="D21" s="47">
        <v>19189440</v>
      </c>
      <c r="E21" s="44">
        <v>720000</v>
      </c>
      <c r="F21" s="48">
        <f>D21+E21</f>
        <v>19909440</v>
      </c>
      <c r="G21" s="41">
        <v>44932</v>
      </c>
      <c r="H21" s="41">
        <v>45291</v>
      </c>
      <c r="I21" s="170">
        <v>1355187</v>
      </c>
      <c r="J21" s="165">
        <f>I21/F21</f>
        <v>6.8067559911278275E-2</v>
      </c>
      <c r="K21" s="170">
        <v>1355187</v>
      </c>
      <c r="L21" s="165">
        <f t="shared" si="15"/>
        <v>0.13613511982255655</v>
      </c>
      <c r="M21" s="176">
        <v>1599120</v>
      </c>
      <c r="N21" s="165">
        <f t="shared" si="19"/>
        <v>0.21645480736776121</v>
      </c>
      <c r="O21" s="176">
        <v>1599120</v>
      </c>
      <c r="P21" s="165">
        <f t="shared" si="20"/>
        <v>0.29677449491296592</v>
      </c>
      <c r="Q21" s="170">
        <v>1599120</v>
      </c>
      <c r="R21" s="165">
        <f>(Q21+O21+M21+K21+I21)/F21</f>
        <v>0.37709418245817061</v>
      </c>
      <c r="S21" s="170">
        <v>1599120</v>
      </c>
      <c r="T21" s="165">
        <f>(S21+Q21+O21+M21+K21+I21)/F21</f>
        <v>0.4574138700033753</v>
      </c>
      <c r="U21" s="167">
        <v>2086986</v>
      </c>
      <c r="V21" s="165">
        <f>(I21+K21+M21+O21+Q21+S21+U21)/F21</f>
        <v>0.56223781281643281</v>
      </c>
      <c r="W21" s="170">
        <v>1599120</v>
      </c>
      <c r="X21" s="165">
        <f>(I21+K21+M21+O21+Q21+S21+U21+W21)/F21</f>
        <v>0.6425575003616375</v>
      </c>
      <c r="Y21" s="170">
        <v>1599120</v>
      </c>
      <c r="Z21" s="165">
        <f>(I21+K21+M21+O21+Q21+S21+U21+W21+Y21)/F21</f>
        <v>0.72287718790684219</v>
      </c>
      <c r="AA21" s="170">
        <v>1599120</v>
      </c>
      <c r="AB21" s="165">
        <f t="shared" si="21"/>
        <v>0.80319687545204688</v>
      </c>
      <c r="AC21" s="162"/>
      <c r="AD21" s="162"/>
      <c r="AE21" s="162"/>
      <c r="AF21" s="162"/>
      <c r="AG21" s="158">
        <f t="shared" si="2"/>
        <v>15991200</v>
      </c>
      <c r="AH21" s="159">
        <f t="shared" si="3"/>
        <v>0.80319687545204688</v>
      </c>
      <c r="AI21" s="170">
        <v>1355187</v>
      </c>
      <c r="AJ21" s="165">
        <f t="shared" si="4"/>
        <v>6.8067559911278275E-2</v>
      </c>
      <c r="AK21" s="170">
        <v>1355187</v>
      </c>
      <c r="AL21" s="165">
        <f t="shared" si="5"/>
        <v>0.13613511982255655</v>
      </c>
      <c r="AM21" s="176">
        <v>1599120</v>
      </c>
      <c r="AN21" s="165">
        <f t="shared" si="6"/>
        <v>0.21645480736776121</v>
      </c>
      <c r="AO21" s="176">
        <v>1599120</v>
      </c>
      <c r="AP21" s="165">
        <f t="shared" si="7"/>
        <v>0.29677449491296592</v>
      </c>
      <c r="AQ21" s="170">
        <v>1599120</v>
      </c>
      <c r="AR21" s="165">
        <f t="shared" si="8"/>
        <v>0.43872303931537149</v>
      </c>
      <c r="AS21" s="170">
        <v>1599120</v>
      </c>
      <c r="AT21" s="165">
        <f t="shared" si="9"/>
        <v>0.4574138700033753</v>
      </c>
      <c r="AU21" s="167">
        <v>2086986</v>
      </c>
      <c r="AV21" s="165">
        <f t="shared" si="10"/>
        <v>0.56223781281643281</v>
      </c>
      <c r="AW21" s="170">
        <v>1599120</v>
      </c>
      <c r="AX21" s="165">
        <f t="shared" si="11"/>
        <v>0.6425575003616375</v>
      </c>
      <c r="AY21" s="170">
        <v>1599120</v>
      </c>
      <c r="AZ21" s="165">
        <f t="shared" si="12"/>
        <v>0.72287718790684219</v>
      </c>
      <c r="BA21" s="170">
        <v>1599120</v>
      </c>
      <c r="BB21" s="165">
        <f t="shared" si="13"/>
        <v>0.83333333333333337</v>
      </c>
      <c r="BC21" s="162"/>
      <c r="BD21" s="162"/>
      <c r="BE21" s="162"/>
      <c r="BF21" s="162"/>
      <c r="BG21" s="158">
        <f t="shared" si="22"/>
        <v>15991200</v>
      </c>
    </row>
    <row r="22" spans="1:59" ht="16.5" thickBot="1" x14ac:dyDescent="0.3">
      <c r="A22" s="196" t="s">
        <v>98</v>
      </c>
      <c r="B22" s="45" t="s">
        <v>70</v>
      </c>
      <c r="C22" s="49">
        <v>1099874837</v>
      </c>
      <c r="D22" s="47">
        <v>17112696</v>
      </c>
      <c r="E22" s="44"/>
      <c r="F22" s="48">
        <f t="shared" si="0"/>
        <v>17112696</v>
      </c>
      <c r="G22" s="41">
        <v>44932</v>
      </c>
      <c r="H22" s="41">
        <v>45291</v>
      </c>
      <c r="I22" s="164">
        <v>1309366</v>
      </c>
      <c r="J22" s="165">
        <f>I22/F22</f>
        <v>7.6514302597323058E-2</v>
      </c>
      <c r="K22" s="172">
        <f>I22</f>
        <v>1309366</v>
      </c>
      <c r="L22" s="165">
        <f>(K22+I22)/F22</f>
        <v>0.15302860519464612</v>
      </c>
      <c r="M22" s="164">
        <v>1426058</v>
      </c>
      <c r="N22" s="165">
        <f>(I22+K22+M22)/F22</f>
        <v>0.23636193852797946</v>
      </c>
      <c r="O22" s="164">
        <v>1426058</v>
      </c>
      <c r="P22" s="165">
        <f>(O22+M22+K22+I22)/F22</f>
        <v>0.3196952718613128</v>
      </c>
      <c r="Q22" s="164">
        <v>1426058</v>
      </c>
      <c r="R22" s="165">
        <f>(Q22+O22+M22+I22)/F22</f>
        <v>0.32651430259732306</v>
      </c>
      <c r="S22" s="172">
        <v>1426058</v>
      </c>
      <c r="T22" s="165">
        <f>(S22+Q22+M22+I22+O22+K22)/F22</f>
        <v>0.48636193852797949</v>
      </c>
      <c r="U22" s="164">
        <v>1659442</v>
      </c>
      <c r="V22" s="165">
        <f>(U22+S22+Q22+O22+M22+K22+I22)/F22</f>
        <v>0.58333333333333337</v>
      </c>
      <c r="W22" s="172">
        <v>1426058</v>
      </c>
      <c r="X22" s="165">
        <f>(W22+U22+S22+Q22+O22+K22+I22+M22)/F22</f>
        <v>0.66666666666666663</v>
      </c>
      <c r="Y22" s="164">
        <v>1426058</v>
      </c>
      <c r="Z22" s="165">
        <f>(Y22+W22+U22+S22+Q22+M22+K22+O22+I22)/F22</f>
        <v>0.75</v>
      </c>
      <c r="AA22" s="164">
        <v>1426058</v>
      </c>
      <c r="AB22" s="165">
        <f t="shared" si="21"/>
        <v>0.83333333333333337</v>
      </c>
      <c r="AC22" s="163"/>
      <c r="AD22" s="161"/>
      <c r="AE22" s="206"/>
      <c r="AF22" s="161"/>
      <c r="AG22" s="158">
        <f t="shared" si="2"/>
        <v>14260580</v>
      </c>
      <c r="AH22" s="159">
        <f t="shared" si="3"/>
        <v>0.83333333333333337</v>
      </c>
      <c r="AI22" s="164">
        <v>1309366</v>
      </c>
      <c r="AJ22" s="165">
        <f t="shared" si="4"/>
        <v>7.6514302597323058E-2</v>
      </c>
      <c r="AK22" s="172">
        <f>AI22</f>
        <v>1309366</v>
      </c>
      <c r="AL22" s="165">
        <f t="shared" si="5"/>
        <v>0.15302860519464612</v>
      </c>
      <c r="AM22" s="164">
        <v>1426058</v>
      </c>
      <c r="AN22" s="165">
        <f t="shared" si="6"/>
        <v>0.23636193852797946</v>
      </c>
      <c r="AO22" s="164">
        <v>1426058</v>
      </c>
      <c r="AP22" s="165">
        <f t="shared" si="7"/>
        <v>0.3196952718613128</v>
      </c>
      <c r="AQ22" s="164">
        <v>1426058</v>
      </c>
      <c r="AR22" s="165">
        <f t="shared" si="8"/>
        <v>0.5033916446942257</v>
      </c>
      <c r="AS22" s="172">
        <v>1426058</v>
      </c>
      <c r="AT22" s="165">
        <f t="shared" si="9"/>
        <v>0.48636193852797949</v>
      </c>
      <c r="AU22" s="164">
        <v>1659442</v>
      </c>
      <c r="AV22" s="165">
        <f t="shared" si="10"/>
        <v>0.58333333333333337</v>
      </c>
      <c r="AW22" s="172">
        <v>1426058</v>
      </c>
      <c r="AX22" s="165">
        <f t="shared" si="11"/>
        <v>0.66666666666666663</v>
      </c>
      <c r="AY22" s="164">
        <v>1426058</v>
      </c>
      <c r="AZ22" s="165">
        <f t="shared" si="12"/>
        <v>0.75</v>
      </c>
      <c r="BA22" s="164">
        <v>1426058</v>
      </c>
      <c r="BB22" s="165">
        <f t="shared" si="13"/>
        <v>0.83333333333333337</v>
      </c>
      <c r="BC22" s="163"/>
      <c r="BD22" s="161"/>
      <c r="BE22" s="206"/>
      <c r="BF22" s="161"/>
      <c r="BG22" s="158">
        <f t="shared" si="22"/>
        <v>14260580</v>
      </c>
    </row>
    <row r="23" spans="1:59" ht="16.5" thickBot="1" x14ac:dyDescent="0.3">
      <c r="A23" s="489" t="s">
        <v>99</v>
      </c>
      <c r="B23" s="490" t="s">
        <v>100</v>
      </c>
      <c r="C23" s="492" t="s">
        <v>101</v>
      </c>
      <c r="D23" s="494">
        <v>13700875</v>
      </c>
      <c r="E23" s="53"/>
      <c r="F23" s="494">
        <v>13700875</v>
      </c>
      <c r="G23" s="54">
        <v>44958</v>
      </c>
      <c r="H23" s="54">
        <v>45291</v>
      </c>
      <c r="I23" s="163">
        <v>0</v>
      </c>
      <c r="J23" s="165">
        <f>I23/D23</f>
        <v>0</v>
      </c>
      <c r="K23" s="185">
        <v>1141740</v>
      </c>
      <c r="L23" s="165">
        <f>(K23+I23)/F23</f>
        <v>8.3333363745016292E-2</v>
      </c>
      <c r="M23" s="185">
        <v>1141740</v>
      </c>
      <c r="N23" s="165">
        <f>(I23+K23+M23)/F23</f>
        <v>0.16666672749003258</v>
      </c>
      <c r="O23" s="185">
        <v>1141740</v>
      </c>
      <c r="P23" s="165">
        <f>SUM(O23,M23,K23,)/F23</f>
        <v>0.25000009123504885</v>
      </c>
      <c r="Q23" s="185">
        <v>1141740</v>
      </c>
      <c r="R23" s="165">
        <f>SUM(Q23,O23,M23,K23,)/F23</f>
        <v>0.33333345498006517</v>
      </c>
      <c r="S23" s="185">
        <v>1141740</v>
      </c>
      <c r="T23" s="184">
        <f>SUM(S23,Q23,O23,M23,K23)/F23</f>
        <v>0.41666681872508143</v>
      </c>
      <c r="U23" s="185">
        <v>1141740</v>
      </c>
      <c r="V23" s="184">
        <f>SUM(U23,S23,Q23,O23,M23,K23)/F23</f>
        <v>0.5000001824700977</v>
      </c>
      <c r="W23" s="185">
        <v>1141740</v>
      </c>
      <c r="X23" s="184">
        <f>SUM(W23,U23,S23,Q23,O23,M23,K23)/F23</f>
        <v>0.58333354621511402</v>
      </c>
      <c r="Y23" s="185">
        <v>1141740</v>
      </c>
      <c r="Z23" s="184">
        <f>SUM(Y23,W23,U23,S23,Q23,O23,M23,K23)/F23</f>
        <v>0.66666690996013034</v>
      </c>
      <c r="AA23" s="185">
        <v>1141740</v>
      </c>
      <c r="AB23" s="184">
        <f>SUM(AA23,Y23,W23,U23,S23,Q23,O23,M23,K23)/F23</f>
        <v>0.75000027370514655</v>
      </c>
      <c r="AC23" s="162"/>
      <c r="AD23" s="162"/>
      <c r="AE23" s="162"/>
      <c r="AF23" s="162"/>
      <c r="AG23" s="158">
        <f t="shared" si="2"/>
        <v>10275660</v>
      </c>
      <c r="AH23" s="159">
        <f t="shared" si="3"/>
        <v>0.75000027370514655</v>
      </c>
      <c r="AI23" s="164"/>
      <c r="AJ23" s="165">
        <f t="shared" si="4"/>
        <v>0</v>
      </c>
      <c r="AK23" s="185">
        <v>1141740</v>
      </c>
      <c r="AL23" s="165">
        <f t="shared" si="5"/>
        <v>8.3333363745016292E-2</v>
      </c>
      <c r="AM23" s="185">
        <v>1141740</v>
      </c>
      <c r="AN23" s="165">
        <f t="shared" si="6"/>
        <v>0.16666672749003258</v>
      </c>
      <c r="AO23" s="185">
        <v>1141740</v>
      </c>
      <c r="AP23" s="165">
        <f t="shared" si="7"/>
        <v>0.25000009123504885</v>
      </c>
      <c r="AQ23" s="185">
        <v>1141740</v>
      </c>
      <c r="AR23" s="165">
        <f>SUM(AQ23,AO23,AM23,AK23)/F23</f>
        <v>0.33333345498006517</v>
      </c>
      <c r="AS23" s="185">
        <v>1141740</v>
      </c>
      <c r="AT23" s="165">
        <f t="shared" si="9"/>
        <v>0.41666681872508143</v>
      </c>
      <c r="AU23" s="185">
        <v>1141740</v>
      </c>
      <c r="AV23" s="165">
        <f t="shared" si="10"/>
        <v>0.5000001824700977</v>
      </c>
      <c r="AW23" s="185">
        <v>1141740</v>
      </c>
      <c r="AX23" s="165">
        <f t="shared" si="11"/>
        <v>0.58333354621511402</v>
      </c>
      <c r="AY23" s="185">
        <v>1141740</v>
      </c>
      <c r="AZ23" s="165">
        <f t="shared" si="12"/>
        <v>0.66666690996013034</v>
      </c>
      <c r="BA23" s="185">
        <v>1141740</v>
      </c>
      <c r="BB23" s="165">
        <f t="shared" si="13"/>
        <v>0.75000027370514655</v>
      </c>
      <c r="BC23" s="162"/>
      <c r="BD23" s="162"/>
      <c r="BE23" s="162"/>
      <c r="BF23" s="162"/>
      <c r="BG23" s="158">
        <f t="shared" si="22"/>
        <v>10275660</v>
      </c>
    </row>
    <row r="24" spans="1:59" ht="16.5" thickBot="1" x14ac:dyDescent="0.3">
      <c r="A24" s="489"/>
      <c r="B24" s="491"/>
      <c r="C24" s="493"/>
      <c r="D24" s="495"/>
      <c r="E24" s="53"/>
      <c r="F24" s="495"/>
      <c r="G24" s="54">
        <v>44958</v>
      </c>
      <c r="H24" s="54">
        <v>45291</v>
      </c>
      <c r="I24" s="163">
        <v>0</v>
      </c>
      <c r="J24" s="165">
        <f>I24/D23</f>
        <v>0</v>
      </c>
      <c r="K24" s="185">
        <v>1141740</v>
      </c>
      <c r="L24" s="165">
        <f>(K24+I24)/F23</f>
        <v>8.3333363745016292E-2</v>
      </c>
      <c r="M24" s="185">
        <v>1141740</v>
      </c>
      <c r="N24" s="165">
        <f>(I24+K24+M24)/F23</f>
        <v>0.16666672749003258</v>
      </c>
      <c r="O24" s="185">
        <v>1141740</v>
      </c>
      <c r="P24" s="184"/>
      <c r="Q24" s="185">
        <v>1141740</v>
      </c>
      <c r="R24" s="184"/>
      <c r="S24" s="185">
        <v>1141740</v>
      </c>
      <c r="T24" s="184"/>
      <c r="U24" s="185">
        <v>1141740</v>
      </c>
      <c r="V24" s="184"/>
      <c r="W24" s="185">
        <v>1141740</v>
      </c>
      <c r="X24" s="184"/>
      <c r="Y24" s="185">
        <v>1141740</v>
      </c>
      <c r="Z24" s="184"/>
      <c r="AA24" s="185">
        <v>1141740</v>
      </c>
      <c r="AB24" s="186"/>
      <c r="AC24" s="162"/>
      <c r="AD24" s="162"/>
      <c r="AE24" s="162"/>
      <c r="AF24" s="162"/>
      <c r="AG24" s="158">
        <f t="shared" si="2"/>
        <v>10275660</v>
      </c>
      <c r="AH24" s="159">
        <f>SUM(AG24)/F23</f>
        <v>0.75000027370514655</v>
      </c>
      <c r="AI24" s="207"/>
      <c r="AJ24" s="208"/>
      <c r="AK24" s="207"/>
      <c r="AL24" s="208"/>
      <c r="AM24" s="207"/>
      <c r="AN24" s="208"/>
      <c r="AO24" s="207"/>
      <c r="AP24" s="208"/>
      <c r="AQ24" s="209"/>
      <c r="AR24" s="208"/>
      <c r="AS24" s="209"/>
      <c r="AT24" s="208"/>
      <c r="AU24" s="209"/>
      <c r="AV24" s="208"/>
      <c r="AW24" s="209"/>
      <c r="AX24" s="208"/>
      <c r="AY24" s="209"/>
      <c r="AZ24" s="208"/>
      <c r="BA24" s="209"/>
      <c r="BB24" s="208"/>
      <c r="BC24" s="162"/>
      <c r="BD24" s="162"/>
      <c r="BE24" s="162"/>
      <c r="BF24" s="162"/>
      <c r="BG24" s="158">
        <f t="shared" si="22"/>
        <v>0</v>
      </c>
    </row>
    <row r="25" spans="1:59" ht="16.5" thickBot="1" x14ac:dyDescent="0.3">
      <c r="A25" s="196" t="s">
        <v>102</v>
      </c>
      <c r="B25" s="36" t="s">
        <v>103</v>
      </c>
      <c r="C25" s="37">
        <v>1095909166</v>
      </c>
      <c r="D25" s="47">
        <v>17112696</v>
      </c>
      <c r="E25" s="44"/>
      <c r="F25" s="43">
        <f t="shared" ref="F25:F36" si="23">D25</f>
        <v>17112696</v>
      </c>
      <c r="G25" s="41">
        <v>44932</v>
      </c>
      <c r="H25" s="41">
        <v>45291</v>
      </c>
      <c r="I25" s="167">
        <v>1426058</v>
      </c>
      <c r="J25" s="165">
        <f>I25/F25</f>
        <v>8.3333333333333329E-2</v>
      </c>
      <c r="K25" s="167">
        <v>1426058</v>
      </c>
      <c r="L25" s="165">
        <f>(K25+I25)/F25</f>
        <v>0.16666666666666666</v>
      </c>
      <c r="M25" s="174">
        <v>1426058</v>
      </c>
      <c r="N25" s="165">
        <f>(M25+K25+I25)/F25</f>
        <v>0.25</v>
      </c>
      <c r="O25" s="174">
        <v>1426058</v>
      </c>
      <c r="P25" s="165">
        <f>(O25+M25+K25+I25)/F25</f>
        <v>0.33333333333333331</v>
      </c>
      <c r="Q25" s="167">
        <v>1426058</v>
      </c>
      <c r="R25" s="165">
        <f>(Q25+O25+M25+K25+I25)/F25</f>
        <v>0.41666666666666669</v>
      </c>
      <c r="S25" s="167">
        <v>1426058</v>
      </c>
      <c r="T25" s="165">
        <f>SUM(S25,Q25,O25,M25,K25,I25)/F25</f>
        <v>0.5</v>
      </c>
      <c r="U25" s="167">
        <v>1426058</v>
      </c>
      <c r="V25" s="165">
        <f>SUM(I25,K25,M25,O25,Q25,S25,U25)/F25</f>
        <v>0.58333333333333337</v>
      </c>
      <c r="W25" s="167">
        <v>1426058</v>
      </c>
      <c r="X25" s="165">
        <f>SUM(I25,K25,M25,O25,Q25,S25,U25,W25)/F25</f>
        <v>0.66666666666666663</v>
      </c>
      <c r="Y25" s="167">
        <v>1426058</v>
      </c>
      <c r="Z25" s="165">
        <f>SUM(I25,K25,M25,O25,Q25,S25,U25,W25,Y25)/F25</f>
        <v>0.75</v>
      </c>
      <c r="AA25" s="167">
        <v>1426058</v>
      </c>
      <c r="AB25" s="165">
        <f>SUM(AA25,Y25,W25,U25,S25,Q25,O25,M25,K25,I25,)/F25</f>
        <v>0.83333333333333337</v>
      </c>
      <c r="AC25" s="162"/>
      <c r="AD25" s="162"/>
      <c r="AE25" s="162"/>
      <c r="AF25" s="162"/>
      <c r="AG25" s="158">
        <f t="shared" si="2"/>
        <v>14260580</v>
      </c>
      <c r="AH25" s="159">
        <f t="shared" si="3"/>
        <v>0.83333333333333337</v>
      </c>
      <c r="AI25" s="167">
        <v>1426058</v>
      </c>
      <c r="AJ25" s="165">
        <f t="shared" si="4"/>
        <v>8.3333333333333329E-2</v>
      </c>
      <c r="AK25" s="167">
        <v>1426058</v>
      </c>
      <c r="AL25" s="165">
        <f t="shared" si="5"/>
        <v>0.16666666666666666</v>
      </c>
      <c r="AM25" s="174">
        <v>1426058</v>
      </c>
      <c r="AN25" s="165">
        <f t="shared" si="6"/>
        <v>0.25</v>
      </c>
      <c r="AO25" s="174">
        <v>1426058</v>
      </c>
      <c r="AP25" s="165">
        <f t="shared" si="7"/>
        <v>0.33333333333333331</v>
      </c>
      <c r="AQ25" s="167">
        <v>1426058</v>
      </c>
      <c r="AR25" s="165">
        <f t="shared" si="8"/>
        <v>0.45427433741080531</v>
      </c>
      <c r="AS25" s="167">
        <v>1426058</v>
      </c>
      <c r="AT25" s="165">
        <f t="shared" si="9"/>
        <v>0.5</v>
      </c>
      <c r="AU25" s="167">
        <v>1426058</v>
      </c>
      <c r="AV25" s="165">
        <f t="shared" si="10"/>
        <v>0.58333333333333337</v>
      </c>
      <c r="AW25" s="167">
        <v>1426058</v>
      </c>
      <c r="AX25" s="165">
        <f t="shared" si="11"/>
        <v>0.66666666666666663</v>
      </c>
      <c r="AY25" s="167">
        <v>1426058</v>
      </c>
      <c r="AZ25" s="165">
        <f t="shared" si="12"/>
        <v>0.75</v>
      </c>
      <c r="BA25" s="167">
        <v>1426058</v>
      </c>
      <c r="BB25" s="165">
        <f t="shared" si="13"/>
        <v>0.83333333333333337</v>
      </c>
      <c r="BC25" s="162"/>
      <c r="BD25" s="162"/>
      <c r="BE25" s="162"/>
      <c r="BF25" s="162"/>
      <c r="BG25" s="158">
        <f t="shared" si="22"/>
        <v>14260580</v>
      </c>
    </row>
    <row r="26" spans="1:59" ht="16.5" thickBot="1" x14ac:dyDescent="0.3">
      <c r="A26" s="196" t="s">
        <v>104</v>
      </c>
      <c r="B26" s="36" t="s">
        <v>66</v>
      </c>
      <c r="C26" s="37">
        <v>1095838126</v>
      </c>
      <c r="D26" s="47">
        <v>15696000</v>
      </c>
      <c r="E26" s="44"/>
      <c r="F26" s="43">
        <f t="shared" si="23"/>
        <v>15696000</v>
      </c>
      <c r="G26" s="41">
        <v>44932</v>
      </c>
      <c r="H26" s="41">
        <v>45291</v>
      </c>
      <c r="I26" s="167">
        <v>1200000</v>
      </c>
      <c r="J26" s="165">
        <f>I26/F26</f>
        <v>7.64525993883792E-2</v>
      </c>
      <c r="K26" s="167">
        <v>1200000</v>
      </c>
      <c r="L26" s="165">
        <f>(K26+I26)/F26</f>
        <v>0.1529051987767584</v>
      </c>
      <c r="M26" s="174">
        <v>1308000</v>
      </c>
      <c r="N26" s="165">
        <f>(M26+K26+I26)/F26</f>
        <v>0.23623853211009174</v>
      </c>
      <c r="O26" s="174">
        <v>1308000</v>
      </c>
      <c r="P26" s="165">
        <f>(O26+M26+K26+I26)/F26</f>
        <v>0.31957186544342508</v>
      </c>
      <c r="Q26" s="167">
        <v>1308000</v>
      </c>
      <c r="R26" s="165">
        <f>(Q26+O26+M26+K26+I26)/F26</f>
        <v>0.4029051987767584</v>
      </c>
      <c r="S26" s="167">
        <v>1308000</v>
      </c>
      <c r="T26" s="165">
        <f>SUM(S26,Q26,O26,M26,K26,I26)/F26</f>
        <v>0.48623853211009177</v>
      </c>
      <c r="U26" s="167">
        <v>1524000</v>
      </c>
      <c r="V26" s="165">
        <f>SUM(I26,K26,M26,O26,Q26,S26,U26)/F26</f>
        <v>0.58333333333333337</v>
      </c>
      <c r="W26" s="167">
        <v>1308000</v>
      </c>
      <c r="X26" s="165">
        <f>SUM(I26,K26,M26,O26,Q26,S26,U26,W26)/F26</f>
        <v>0.66666666666666663</v>
      </c>
      <c r="Y26" s="167">
        <v>1308000</v>
      </c>
      <c r="Z26" s="165">
        <f>SUM(I26,K26,M26,O26,Q26,S26,U26,W26,Y26)/F26</f>
        <v>0.75</v>
      </c>
      <c r="AA26" s="167">
        <v>1308000</v>
      </c>
      <c r="AB26" s="165">
        <f>SUM(AA26,Y26,W26,U26,S26,Q26,O26,M26,K26,I26,)/F26</f>
        <v>0.83333333333333337</v>
      </c>
      <c r="AC26" s="162"/>
      <c r="AD26" s="162"/>
      <c r="AE26" s="162"/>
      <c r="AF26" s="162"/>
      <c r="AG26" s="158">
        <f t="shared" si="2"/>
        <v>13080000</v>
      </c>
      <c r="AH26" s="159">
        <f t="shared" si="3"/>
        <v>0.83333333333333337</v>
      </c>
      <c r="AI26" s="167">
        <v>1200000</v>
      </c>
      <c r="AJ26" s="165">
        <f t="shared" si="4"/>
        <v>7.64525993883792E-2</v>
      </c>
      <c r="AK26" s="167">
        <v>1200000</v>
      </c>
      <c r="AL26" s="165">
        <f t="shared" si="5"/>
        <v>0.1529051987767584</v>
      </c>
      <c r="AM26" s="174">
        <v>1308000</v>
      </c>
      <c r="AN26" s="165">
        <f t="shared" si="6"/>
        <v>0.23623853211009174</v>
      </c>
      <c r="AO26" s="174">
        <v>1308000</v>
      </c>
      <c r="AP26" s="165">
        <f t="shared" si="7"/>
        <v>0.31957186544342508</v>
      </c>
      <c r="AQ26" s="167">
        <v>1308000</v>
      </c>
      <c r="AR26" s="165">
        <f t="shared" si="8"/>
        <v>1.054</v>
      </c>
      <c r="AS26" s="167">
        <v>1308000</v>
      </c>
      <c r="AT26" s="165">
        <f t="shared" si="9"/>
        <v>0.48623853211009177</v>
      </c>
      <c r="AU26" s="167">
        <v>1524000</v>
      </c>
      <c r="AV26" s="165">
        <f t="shared" si="10"/>
        <v>0.58333333333333337</v>
      </c>
      <c r="AW26" s="167">
        <v>1308000</v>
      </c>
      <c r="AX26" s="165">
        <f t="shared" si="11"/>
        <v>0.66666666666666663</v>
      </c>
      <c r="AY26" s="167">
        <v>1308000</v>
      </c>
      <c r="AZ26" s="165">
        <f t="shared" si="12"/>
        <v>0.75</v>
      </c>
      <c r="BA26" s="167">
        <v>1308000</v>
      </c>
      <c r="BB26" s="165">
        <f t="shared" si="13"/>
        <v>0.83333333333333337</v>
      </c>
      <c r="BC26" s="162"/>
      <c r="BD26" s="162"/>
      <c r="BE26" s="162"/>
      <c r="BF26" s="162"/>
      <c r="BG26" s="158">
        <f t="shared" si="22"/>
        <v>13080000</v>
      </c>
    </row>
    <row r="27" spans="1:59" ht="17.25" thickBot="1" x14ac:dyDescent="0.3">
      <c r="A27" s="196" t="s">
        <v>106</v>
      </c>
      <c r="B27" s="36" t="s">
        <v>113</v>
      </c>
      <c r="C27" s="96" t="s">
        <v>114</v>
      </c>
      <c r="D27" s="47">
        <v>6000000</v>
      </c>
      <c r="E27" s="44"/>
      <c r="F27" s="43">
        <f t="shared" si="23"/>
        <v>6000000</v>
      </c>
      <c r="G27" s="41">
        <v>44932</v>
      </c>
      <c r="H27" s="41">
        <v>45291</v>
      </c>
      <c r="I27" s="178">
        <v>0</v>
      </c>
      <c r="J27" s="179">
        <f t="shared" ref="J27:J50" si="24">I27/F27</f>
        <v>0</v>
      </c>
      <c r="K27" s="178">
        <v>397070</v>
      </c>
      <c r="L27" s="179">
        <f t="shared" ref="L27:L50" si="25">(K27+I27)/F27</f>
        <v>6.6178333333333339E-2</v>
      </c>
      <c r="M27" s="180">
        <v>456499.25</v>
      </c>
      <c r="N27" s="179">
        <f t="shared" ref="N27:N50" si="26">(M27+K27+I27)/F27</f>
        <v>0.14226154166666666</v>
      </c>
      <c r="O27" s="180">
        <v>392599.5</v>
      </c>
      <c r="P27" s="179">
        <f t="shared" ref="P27:P50" si="27">(O27+M27+K27+I27)/F27</f>
        <v>0.20769479166666666</v>
      </c>
      <c r="Q27" s="180">
        <v>408435</v>
      </c>
      <c r="R27" s="179">
        <f>(Q27+O27+M27+K27+I27)/F27</f>
        <v>0.27576729166666669</v>
      </c>
      <c r="S27" s="180">
        <v>375430</v>
      </c>
      <c r="T27" s="179">
        <f t="shared" ref="T27:T50" si="28">SUM(S27,Q27,O27,M27,K27,I27)/F27</f>
        <v>0.33833895833333333</v>
      </c>
      <c r="U27" s="180">
        <v>368300</v>
      </c>
      <c r="V27" s="179">
        <f t="shared" ref="V27:V50" si="29">SUM(I27,K27,M27,O27,Q27,S27,U27)/F27</f>
        <v>0.39972229166666667</v>
      </c>
      <c r="W27" s="180">
        <v>425455</v>
      </c>
      <c r="X27" s="179">
        <f t="shared" ref="X27:X50" si="30">SUM(I27,K27,M27,O27,Q27,S27,U27,W27)/F27</f>
        <v>0.47063145833333331</v>
      </c>
      <c r="Y27" s="180">
        <v>425570</v>
      </c>
      <c r="Z27" s="179">
        <f>SUM(I27,K27,M27,O27,Q27,S27,U27,W27,Y27)/F27</f>
        <v>0.54155979166666668</v>
      </c>
      <c r="AA27" s="181"/>
      <c r="AB27" s="181"/>
      <c r="AC27" s="162"/>
      <c r="AD27" s="162"/>
      <c r="AE27" s="162"/>
      <c r="AF27" s="162"/>
      <c r="AG27" s="158">
        <f t="shared" si="2"/>
        <v>3249358.75</v>
      </c>
      <c r="AH27" s="159">
        <f t="shared" si="3"/>
        <v>0.54155979166666668</v>
      </c>
      <c r="AI27" s="178">
        <v>0</v>
      </c>
      <c r="AJ27" s="165">
        <f t="shared" si="4"/>
        <v>0</v>
      </c>
      <c r="AK27" s="178">
        <v>397070</v>
      </c>
      <c r="AL27" s="165">
        <f t="shared" si="5"/>
        <v>6.6178333333333339E-2</v>
      </c>
      <c r="AM27" s="180">
        <v>456499.25</v>
      </c>
      <c r="AN27" s="165">
        <f t="shared" si="6"/>
        <v>0.14226154166666666</v>
      </c>
      <c r="AO27" s="180">
        <v>392599.5</v>
      </c>
      <c r="AP27" s="165">
        <f t="shared" si="7"/>
        <v>0.20769479166666666</v>
      </c>
      <c r="AQ27" s="180">
        <v>408435</v>
      </c>
      <c r="AR27" s="165">
        <f t="shared" si="8"/>
        <v>0.13788364583333335</v>
      </c>
      <c r="AS27" s="180">
        <v>375430</v>
      </c>
      <c r="AT27" s="165">
        <f t="shared" si="9"/>
        <v>0.33833895833333333</v>
      </c>
      <c r="AU27" s="180">
        <v>368300</v>
      </c>
      <c r="AV27" s="165">
        <f t="shared" si="10"/>
        <v>0.39972229166666667</v>
      </c>
      <c r="AW27" s="180">
        <v>425455</v>
      </c>
      <c r="AX27" s="165">
        <f t="shared" si="11"/>
        <v>0.47063145833333331</v>
      </c>
      <c r="AY27" s="180">
        <v>425570</v>
      </c>
      <c r="AZ27" s="165">
        <f t="shared" si="12"/>
        <v>0.54155979166666668</v>
      </c>
      <c r="BA27" s="181"/>
      <c r="BB27" s="165">
        <f t="shared" si="13"/>
        <v>0.54155979166666668</v>
      </c>
      <c r="BC27" s="162"/>
      <c r="BD27" s="162"/>
      <c r="BE27" s="162"/>
      <c r="BF27" s="162"/>
      <c r="BG27" s="158">
        <f t="shared" si="22"/>
        <v>3249358.75</v>
      </c>
    </row>
    <row r="28" spans="1:59" ht="17.25" thickBot="1" x14ac:dyDescent="0.3">
      <c r="A28" s="197" t="s">
        <v>109</v>
      </c>
      <c r="B28" s="50" t="s">
        <v>107</v>
      </c>
      <c r="C28" s="97">
        <v>37551863</v>
      </c>
      <c r="D28" s="52">
        <v>12000000</v>
      </c>
      <c r="E28" s="53"/>
      <c r="F28" s="73">
        <f t="shared" si="23"/>
        <v>12000000</v>
      </c>
      <c r="G28" s="54">
        <v>44958</v>
      </c>
      <c r="H28" s="54">
        <v>45291</v>
      </c>
      <c r="I28" s="178">
        <v>0</v>
      </c>
      <c r="J28" s="179">
        <f t="shared" si="24"/>
        <v>0</v>
      </c>
      <c r="K28" s="178">
        <v>1074000</v>
      </c>
      <c r="L28" s="179">
        <f t="shared" si="25"/>
        <v>8.9499999999999996E-2</v>
      </c>
      <c r="M28" s="180">
        <v>530000</v>
      </c>
      <c r="N28" s="179">
        <f t="shared" si="26"/>
        <v>0.13366666666666666</v>
      </c>
      <c r="O28" s="180">
        <v>0</v>
      </c>
      <c r="P28" s="179">
        <f t="shared" si="27"/>
        <v>0.13366666666666666</v>
      </c>
      <c r="Q28" s="180">
        <v>1175000</v>
      </c>
      <c r="R28" s="179">
        <f t="shared" ref="R28:R50" si="31">(Q28+O28+M28+K28+I28)/F28</f>
        <v>0.23158333333333334</v>
      </c>
      <c r="S28" s="180">
        <v>655000</v>
      </c>
      <c r="T28" s="179">
        <f t="shared" si="28"/>
        <v>0.28616666666666668</v>
      </c>
      <c r="U28" s="181">
        <v>0</v>
      </c>
      <c r="V28" s="179">
        <f t="shared" si="29"/>
        <v>0.28616666666666668</v>
      </c>
      <c r="W28" s="180">
        <v>590000</v>
      </c>
      <c r="X28" s="179">
        <f t="shared" si="30"/>
        <v>0.33533333333333332</v>
      </c>
      <c r="Y28" s="180">
        <v>180000</v>
      </c>
      <c r="Z28" s="179">
        <f t="shared" ref="Z28:Z50" si="32">SUM(I28,K28,M28,O28,Q28,S28,U28,W28,Y28)/F28</f>
        <v>0.35033333333333333</v>
      </c>
      <c r="AA28" s="181"/>
      <c r="AB28" s="181"/>
      <c r="AC28" s="162"/>
      <c r="AD28" s="162"/>
      <c r="AE28" s="162"/>
      <c r="AF28" s="162"/>
      <c r="AG28" s="158">
        <f t="shared" si="2"/>
        <v>4204000</v>
      </c>
      <c r="AH28" s="159">
        <f t="shared" si="3"/>
        <v>0.35033333333333333</v>
      </c>
      <c r="AI28" s="178">
        <v>0</v>
      </c>
      <c r="AJ28" s="165">
        <f t="shared" si="4"/>
        <v>0</v>
      </c>
      <c r="AK28" s="178">
        <v>1074000</v>
      </c>
      <c r="AL28" s="165">
        <f t="shared" si="5"/>
        <v>8.9499999999999996E-2</v>
      </c>
      <c r="AM28" s="180">
        <v>530000</v>
      </c>
      <c r="AN28" s="165">
        <f t="shared" si="6"/>
        <v>0.13366666666666666</v>
      </c>
      <c r="AO28" s="180">
        <v>0</v>
      </c>
      <c r="AP28" s="165">
        <f t="shared" si="7"/>
        <v>0.13366666666666666</v>
      </c>
      <c r="AQ28" s="180">
        <v>1175000</v>
      </c>
      <c r="AR28" s="165">
        <f t="shared" si="8"/>
        <v>0.23158333333333334</v>
      </c>
      <c r="AS28" s="180">
        <v>655000</v>
      </c>
      <c r="AT28" s="165">
        <f t="shared" si="9"/>
        <v>0.28616666666666668</v>
      </c>
      <c r="AU28" s="181">
        <v>0</v>
      </c>
      <c r="AV28" s="165">
        <f t="shared" si="10"/>
        <v>0.28616666666666668</v>
      </c>
      <c r="AW28" s="180">
        <v>590000</v>
      </c>
      <c r="AX28" s="165">
        <f t="shared" si="11"/>
        <v>0.33533333333333332</v>
      </c>
      <c r="AY28" s="180">
        <v>180000</v>
      </c>
      <c r="AZ28" s="165">
        <f t="shared" si="12"/>
        <v>0.35033333333333333</v>
      </c>
      <c r="BA28" s="181"/>
      <c r="BB28" s="165">
        <f t="shared" si="13"/>
        <v>0.35033333333333333</v>
      </c>
      <c r="BC28" s="162"/>
      <c r="BD28" s="162"/>
      <c r="BE28" s="162"/>
      <c r="BF28" s="162"/>
      <c r="BG28" s="158">
        <f t="shared" si="22"/>
        <v>4204000</v>
      </c>
    </row>
    <row r="29" spans="1:59" ht="16.5" thickBot="1" x14ac:dyDescent="0.3">
      <c r="A29" s="197" t="s">
        <v>112</v>
      </c>
      <c r="B29" s="50" t="s">
        <v>110</v>
      </c>
      <c r="C29" s="51">
        <v>63351578</v>
      </c>
      <c r="D29" s="52">
        <v>12000000</v>
      </c>
      <c r="E29" s="53"/>
      <c r="F29" s="73">
        <f t="shared" si="23"/>
        <v>12000000</v>
      </c>
      <c r="G29" s="54">
        <v>44958</v>
      </c>
      <c r="H29" s="54">
        <v>45291</v>
      </c>
      <c r="I29" s="178">
        <v>0</v>
      </c>
      <c r="J29" s="179">
        <f t="shared" si="24"/>
        <v>0</v>
      </c>
      <c r="K29" s="178">
        <v>2181818</v>
      </c>
      <c r="L29" s="179">
        <f t="shared" si="25"/>
        <v>0.18181816666666667</v>
      </c>
      <c r="M29" s="180">
        <v>0</v>
      </c>
      <c r="N29" s="179">
        <f t="shared" si="26"/>
        <v>0.18181816666666667</v>
      </c>
      <c r="O29" s="180">
        <v>0</v>
      </c>
      <c r="P29" s="179">
        <f t="shared" si="27"/>
        <v>0.18181816666666667</v>
      </c>
      <c r="Q29" s="180">
        <v>1818182</v>
      </c>
      <c r="R29" s="179">
        <f t="shared" si="31"/>
        <v>0.33333333333333331</v>
      </c>
      <c r="S29" s="181">
        <v>0</v>
      </c>
      <c r="T29" s="179">
        <f t="shared" si="28"/>
        <v>0.33333333333333331</v>
      </c>
      <c r="U29" s="181">
        <v>0</v>
      </c>
      <c r="V29" s="179">
        <f t="shared" si="29"/>
        <v>0.33333333333333331</v>
      </c>
      <c r="W29" s="180">
        <v>2000000</v>
      </c>
      <c r="X29" s="179">
        <f t="shared" si="30"/>
        <v>0.5</v>
      </c>
      <c r="Y29" s="181">
        <v>0</v>
      </c>
      <c r="Z29" s="179">
        <f t="shared" si="32"/>
        <v>0.5</v>
      </c>
      <c r="AA29" s="181"/>
      <c r="AB29" s="181"/>
      <c r="AC29" s="162"/>
      <c r="AD29" s="162"/>
      <c r="AE29" s="162"/>
      <c r="AF29" s="162"/>
      <c r="AG29" s="158">
        <f t="shared" si="2"/>
        <v>6000000</v>
      </c>
      <c r="AH29" s="159">
        <f t="shared" si="3"/>
        <v>0.5</v>
      </c>
      <c r="AI29" s="178">
        <v>0</v>
      </c>
      <c r="AJ29" s="165">
        <f t="shared" si="4"/>
        <v>0</v>
      </c>
      <c r="AK29" s="178">
        <v>2181818</v>
      </c>
      <c r="AL29" s="165">
        <f t="shared" si="5"/>
        <v>0.18181816666666667</v>
      </c>
      <c r="AM29" s="180">
        <v>0</v>
      </c>
      <c r="AN29" s="165">
        <f t="shared" si="6"/>
        <v>0.18181816666666667</v>
      </c>
      <c r="AO29" s="180">
        <v>0</v>
      </c>
      <c r="AP29" s="165">
        <f t="shared" si="7"/>
        <v>0.18181816666666667</v>
      </c>
      <c r="AQ29" s="180">
        <v>1818182</v>
      </c>
      <c r="AR29" s="165">
        <f t="shared" si="8"/>
        <v>0.33333333333333331</v>
      </c>
      <c r="AS29" s="181">
        <v>0</v>
      </c>
      <c r="AT29" s="165">
        <f t="shared" si="9"/>
        <v>0.33333333333333331</v>
      </c>
      <c r="AU29" s="181">
        <v>0</v>
      </c>
      <c r="AV29" s="165">
        <f t="shared" si="10"/>
        <v>0.33333333333333331</v>
      </c>
      <c r="AW29" s="180">
        <v>2000000</v>
      </c>
      <c r="AX29" s="165">
        <f t="shared" si="11"/>
        <v>0.5</v>
      </c>
      <c r="AY29" s="181">
        <v>0</v>
      </c>
      <c r="AZ29" s="165">
        <f t="shared" si="12"/>
        <v>0.5</v>
      </c>
      <c r="BA29" s="181"/>
      <c r="BB29" s="165">
        <f t="shared" si="13"/>
        <v>0.5</v>
      </c>
      <c r="BC29" s="162"/>
      <c r="BD29" s="162"/>
      <c r="BE29" s="162"/>
      <c r="BF29" s="162"/>
      <c r="BG29" s="158">
        <f t="shared" si="22"/>
        <v>6000000</v>
      </c>
    </row>
    <row r="30" spans="1:59" ht="16.5" thickBot="1" x14ac:dyDescent="0.3">
      <c r="A30" s="197" t="s">
        <v>116</v>
      </c>
      <c r="B30" s="50" t="s">
        <v>117</v>
      </c>
      <c r="C30" s="74" t="s">
        <v>118</v>
      </c>
      <c r="D30" s="52">
        <v>12000000</v>
      </c>
      <c r="E30" s="53"/>
      <c r="F30" s="73">
        <f t="shared" si="23"/>
        <v>12000000</v>
      </c>
      <c r="G30" s="54">
        <v>44958</v>
      </c>
      <c r="H30" s="54">
        <v>45291</v>
      </c>
      <c r="I30" s="183">
        <v>566362.13</v>
      </c>
      <c r="J30" s="184">
        <f t="shared" si="24"/>
        <v>4.7196844166666668E-2</v>
      </c>
      <c r="K30" s="183">
        <v>770502.6</v>
      </c>
      <c r="L30" s="184">
        <f t="shared" si="25"/>
        <v>0.11140539416666667</v>
      </c>
      <c r="M30" s="185">
        <v>401228</v>
      </c>
      <c r="N30" s="184">
        <f t="shared" si="26"/>
        <v>0.14484106083333334</v>
      </c>
      <c r="O30" s="185">
        <v>420706.65</v>
      </c>
      <c r="P30" s="184">
        <f t="shared" si="27"/>
        <v>0.17989994833333334</v>
      </c>
      <c r="Q30" s="185">
        <v>495258.75</v>
      </c>
      <c r="R30" s="184">
        <f t="shared" si="31"/>
        <v>0.22117151083333333</v>
      </c>
      <c r="S30" s="185">
        <v>477941.1</v>
      </c>
      <c r="T30" s="184">
        <f t="shared" si="28"/>
        <v>0.26099993583333331</v>
      </c>
      <c r="U30" s="185">
        <v>309158.84999999998</v>
      </c>
      <c r="V30" s="184">
        <f t="shared" si="29"/>
        <v>0.28676317333333334</v>
      </c>
      <c r="W30" s="185">
        <v>326972.09999999998</v>
      </c>
      <c r="X30" s="184">
        <f t="shared" si="30"/>
        <v>0.31401084833333337</v>
      </c>
      <c r="Y30" s="185">
        <v>850748.85</v>
      </c>
      <c r="Z30" s="184">
        <f t="shared" si="32"/>
        <v>0.38490658583333337</v>
      </c>
      <c r="AA30" s="185">
        <v>510810.3</v>
      </c>
      <c r="AB30" s="165">
        <f>SUM(AA30,Y30,W30,U30,S30,Q30,O30,M30,K30,I30,)/F30</f>
        <v>0.42747411083333337</v>
      </c>
      <c r="AC30" s="162"/>
      <c r="AD30" s="162"/>
      <c r="AE30" s="162"/>
      <c r="AF30" s="162"/>
      <c r="AG30" s="158">
        <f t="shared" si="2"/>
        <v>5129689.33</v>
      </c>
      <c r="AH30" s="159">
        <f t="shared" si="3"/>
        <v>0.42747411083333337</v>
      </c>
      <c r="AI30" s="183">
        <v>566362.13</v>
      </c>
      <c r="AJ30" s="165">
        <f t="shared" si="4"/>
        <v>4.7196844166666668E-2</v>
      </c>
      <c r="AK30" s="183">
        <v>770502.6</v>
      </c>
      <c r="AL30" s="165">
        <f t="shared" si="5"/>
        <v>0.11140539416666667</v>
      </c>
      <c r="AM30" s="185">
        <v>401228</v>
      </c>
      <c r="AN30" s="165">
        <f t="shared" si="6"/>
        <v>0.14484106083333334</v>
      </c>
      <c r="AO30" s="185">
        <v>420706.65</v>
      </c>
      <c r="AP30" s="165">
        <f t="shared" si="7"/>
        <v>0.17989994833333334</v>
      </c>
      <c r="AQ30" s="185">
        <v>495258.75</v>
      </c>
      <c r="AR30" s="165">
        <f t="shared" si="8"/>
        <v>0.1019286572633715</v>
      </c>
      <c r="AS30" s="185">
        <v>477941.1</v>
      </c>
      <c r="AT30" s="165">
        <f t="shared" si="9"/>
        <v>0.26099993583333331</v>
      </c>
      <c r="AU30" s="185">
        <v>309158.84999999998</v>
      </c>
      <c r="AV30" s="165">
        <f t="shared" si="10"/>
        <v>0.28676317333333334</v>
      </c>
      <c r="AW30" s="185">
        <v>326972.09999999998</v>
      </c>
      <c r="AX30" s="165">
        <f t="shared" si="11"/>
        <v>0.31401084833333331</v>
      </c>
      <c r="AY30" s="185">
        <v>850748.85</v>
      </c>
      <c r="AZ30" s="165">
        <f t="shared" si="12"/>
        <v>0.38490658583333337</v>
      </c>
      <c r="BA30" s="185">
        <v>510810.3</v>
      </c>
      <c r="BB30" s="165">
        <f t="shared" si="13"/>
        <v>0.42747411083333337</v>
      </c>
      <c r="BC30" s="162"/>
      <c r="BD30" s="162"/>
      <c r="BE30" s="162"/>
      <c r="BF30" s="162"/>
      <c r="BG30" s="158">
        <f t="shared" si="22"/>
        <v>5129689.33</v>
      </c>
    </row>
    <row r="31" spans="1:59" ht="16.5" thickBot="1" x14ac:dyDescent="0.3">
      <c r="A31" s="197" t="s">
        <v>120</v>
      </c>
      <c r="B31" s="50" t="s">
        <v>121</v>
      </c>
      <c r="C31" s="51" t="s">
        <v>122</v>
      </c>
      <c r="D31" s="52">
        <v>26038390</v>
      </c>
      <c r="E31" s="53"/>
      <c r="F31" s="73">
        <f t="shared" si="23"/>
        <v>26038390</v>
      </c>
      <c r="G31" s="54">
        <v>44967</v>
      </c>
      <c r="H31" s="54">
        <v>45026</v>
      </c>
      <c r="I31" s="183">
        <v>0</v>
      </c>
      <c r="J31" s="184">
        <f t="shared" si="24"/>
        <v>0</v>
      </c>
      <c r="K31" s="182">
        <v>26038390</v>
      </c>
      <c r="L31" s="184">
        <f t="shared" si="25"/>
        <v>1</v>
      </c>
      <c r="M31" s="185"/>
      <c r="N31" s="184">
        <f t="shared" si="26"/>
        <v>1</v>
      </c>
      <c r="O31" s="185"/>
      <c r="P31" s="184">
        <f t="shared" si="27"/>
        <v>1</v>
      </c>
      <c r="Q31" s="186"/>
      <c r="R31" s="184">
        <f t="shared" si="31"/>
        <v>1</v>
      </c>
      <c r="S31" s="186"/>
      <c r="T31" s="184">
        <f t="shared" si="28"/>
        <v>1</v>
      </c>
      <c r="U31" s="186"/>
      <c r="V31" s="184">
        <f t="shared" si="29"/>
        <v>1</v>
      </c>
      <c r="W31" s="186"/>
      <c r="X31" s="184">
        <f t="shared" si="30"/>
        <v>1</v>
      </c>
      <c r="Y31" s="186"/>
      <c r="Z31" s="184">
        <f t="shared" si="32"/>
        <v>1</v>
      </c>
      <c r="AA31" s="186"/>
      <c r="AB31" s="186"/>
      <c r="AC31" s="162"/>
      <c r="AD31" s="162"/>
      <c r="AE31" s="162"/>
      <c r="AF31" s="162"/>
      <c r="AG31" s="158">
        <f t="shared" si="2"/>
        <v>26038390</v>
      </c>
      <c r="AH31" s="159">
        <f t="shared" si="3"/>
        <v>1</v>
      </c>
      <c r="AI31" s="183">
        <v>0</v>
      </c>
      <c r="AJ31" s="165">
        <f t="shared" si="4"/>
        <v>0</v>
      </c>
      <c r="AK31" s="182">
        <v>26038390</v>
      </c>
      <c r="AL31" s="165">
        <f t="shared" si="5"/>
        <v>1</v>
      </c>
      <c r="AM31" s="185"/>
      <c r="AN31" s="165">
        <f t="shared" si="6"/>
        <v>1</v>
      </c>
      <c r="AO31" s="185"/>
      <c r="AP31" s="165">
        <f t="shared" si="7"/>
        <v>1</v>
      </c>
      <c r="AQ31" s="186"/>
      <c r="AR31" s="165">
        <f t="shared" si="8"/>
        <v>1.434622038567493</v>
      </c>
      <c r="AS31" s="186"/>
      <c r="AT31" s="165">
        <f t="shared" si="9"/>
        <v>1</v>
      </c>
      <c r="AU31" s="186"/>
      <c r="AV31" s="165">
        <f t="shared" si="10"/>
        <v>1</v>
      </c>
      <c r="AW31" s="186"/>
      <c r="AX31" s="165">
        <f t="shared" si="11"/>
        <v>1</v>
      </c>
      <c r="AY31" s="186"/>
      <c r="AZ31" s="165">
        <f t="shared" si="12"/>
        <v>1</v>
      </c>
      <c r="BA31" s="186"/>
      <c r="BB31" s="165">
        <f t="shared" si="13"/>
        <v>1</v>
      </c>
      <c r="BC31" s="162"/>
      <c r="BD31" s="162"/>
      <c r="BE31" s="162"/>
      <c r="BF31" s="162"/>
      <c r="BG31" s="158">
        <f t="shared" si="22"/>
        <v>26038390</v>
      </c>
    </row>
    <row r="32" spans="1:59" ht="16.5" thickBot="1" x14ac:dyDescent="0.3">
      <c r="A32" s="197" t="s">
        <v>123</v>
      </c>
      <c r="B32" s="93" t="s">
        <v>124</v>
      </c>
      <c r="C32" s="94" t="s">
        <v>125</v>
      </c>
      <c r="D32" s="52">
        <v>18150000</v>
      </c>
      <c r="E32" s="53"/>
      <c r="F32" s="73">
        <f t="shared" si="23"/>
        <v>18150000</v>
      </c>
      <c r="G32" s="54">
        <v>44966</v>
      </c>
      <c r="H32" s="54">
        <v>45291</v>
      </c>
      <c r="I32" s="183">
        <v>0</v>
      </c>
      <c r="J32" s="184">
        <f t="shared" si="24"/>
        <v>0</v>
      </c>
      <c r="K32" s="183">
        <v>1650000</v>
      </c>
      <c r="L32" s="184">
        <f t="shared" si="25"/>
        <v>9.0909090909090912E-2</v>
      </c>
      <c r="M32" s="183">
        <v>1650000</v>
      </c>
      <c r="N32" s="184">
        <f t="shared" si="26"/>
        <v>0.18181818181818182</v>
      </c>
      <c r="O32" s="183">
        <v>1650000</v>
      </c>
      <c r="P32" s="184">
        <f t="shared" si="27"/>
        <v>0.27272727272727271</v>
      </c>
      <c r="Q32" s="183">
        <v>1650000</v>
      </c>
      <c r="R32" s="184">
        <f t="shared" si="31"/>
        <v>0.36363636363636365</v>
      </c>
      <c r="S32" s="183">
        <v>1650000</v>
      </c>
      <c r="T32" s="184">
        <f t="shared" si="28"/>
        <v>0.45454545454545453</v>
      </c>
      <c r="U32" s="183">
        <v>1650000</v>
      </c>
      <c r="V32" s="184">
        <f t="shared" si="29"/>
        <v>0.54545454545454541</v>
      </c>
      <c r="W32" s="183">
        <v>1650000</v>
      </c>
      <c r="X32" s="184">
        <f t="shared" si="30"/>
        <v>0.63636363636363635</v>
      </c>
      <c r="Y32" s="183">
        <v>1650000</v>
      </c>
      <c r="Z32" s="184">
        <f t="shared" si="32"/>
        <v>0.72727272727272729</v>
      </c>
      <c r="AA32" s="183">
        <v>1650000</v>
      </c>
      <c r="AB32" s="165">
        <f>SUM(AA32,Y32,W32,U32,S32,Q32,O32,M32,K32,I32,)/F32</f>
        <v>0.81818181818181823</v>
      </c>
      <c r="AC32" s="162"/>
      <c r="AD32" s="162"/>
      <c r="AE32" s="162"/>
      <c r="AF32" s="162"/>
      <c r="AG32" s="158">
        <f t="shared" si="2"/>
        <v>14850000</v>
      </c>
      <c r="AH32" s="159">
        <f t="shared" si="3"/>
        <v>0.81818181818181823</v>
      </c>
      <c r="AI32" s="183">
        <v>0</v>
      </c>
      <c r="AJ32" s="165">
        <f t="shared" si="4"/>
        <v>0</v>
      </c>
      <c r="AK32" s="183">
        <v>1650000</v>
      </c>
      <c r="AL32" s="165">
        <f t="shared" si="5"/>
        <v>9.0909090909090912E-2</v>
      </c>
      <c r="AM32" s="183">
        <v>1650000</v>
      </c>
      <c r="AN32" s="165">
        <f t="shared" si="6"/>
        <v>0.18181818181818182</v>
      </c>
      <c r="AO32" s="183">
        <v>1650000</v>
      </c>
      <c r="AP32" s="165">
        <f t="shared" si="7"/>
        <v>0.27272727272727271</v>
      </c>
      <c r="AQ32" s="183">
        <v>1650000</v>
      </c>
      <c r="AR32" s="165">
        <f t="shared" si="8"/>
        <v>0.21052631578947367</v>
      </c>
      <c r="AS32" s="183">
        <v>1650000</v>
      </c>
      <c r="AT32" s="165">
        <f t="shared" si="9"/>
        <v>0.45454545454545453</v>
      </c>
      <c r="AU32" s="183">
        <v>1650000</v>
      </c>
      <c r="AV32" s="165">
        <f t="shared" si="10"/>
        <v>0.54545454545454541</v>
      </c>
      <c r="AW32" s="183">
        <v>1650000</v>
      </c>
      <c r="AX32" s="165">
        <f t="shared" si="11"/>
        <v>0.63636363636363635</v>
      </c>
      <c r="AY32" s="183">
        <v>1650000</v>
      </c>
      <c r="AZ32" s="165">
        <f t="shared" si="12"/>
        <v>0.72727272727272729</v>
      </c>
      <c r="BA32" s="183">
        <v>1650000</v>
      </c>
      <c r="BB32" s="165">
        <f t="shared" si="13"/>
        <v>0.81818181818181823</v>
      </c>
      <c r="BC32" s="162"/>
      <c r="BD32" s="162"/>
      <c r="BE32" s="162"/>
      <c r="BF32" s="162"/>
      <c r="BG32" s="158">
        <f t="shared" si="22"/>
        <v>14850000</v>
      </c>
    </row>
    <row r="33" spans="1:59" ht="17.25" thickBot="1" x14ac:dyDescent="0.3">
      <c r="A33" s="197" t="s">
        <v>126</v>
      </c>
      <c r="B33" s="187" t="s">
        <v>127</v>
      </c>
      <c r="C33" s="95">
        <v>1090487776</v>
      </c>
      <c r="D33" s="80">
        <v>31350000</v>
      </c>
      <c r="E33" s="53"/>
      <c r="F33" s="82">
        <f t="shared" si="23"/>
        <v>31350000</v>
      </c>
      <c r="G33" s="54">
        <v>44958</v>
      </c>
      <c r="H33" s="54">
        <v>45291</v>
      </c>
      <c r="I33" s="183">
        <v>0</v>
      </c>
      <c r="J33" s="184">
        <f t="shared" si="24"/>
        <v>0</v>
      </c>
      <c r="K33" s="183">
        <v>2850000</v>
      </c>
      <c r="L33" s="184">
        <f t="shared" si="25"/>
        <v>9.0909090909090912E-2</v>
      </c>
      <c r="M33" s="183">
        <v>2850000</v>
      </c>
      <c r="N33" s="184">
        <f t="shared" si="26"/>
        <v>0.18181818181818182</v>
      </c>
      <c r="O33" s="183">
        <v>2850000</v>
      </c>
      <c r="P33" s="184">
        <f t="shared" si="27"/>
        <v>0.27272727272727271</v>
      </c>
      <c r="Q33" s="183">
        <v>2850000</v>
      </c>
      <c r="R33" s="184">
        <f t="shared" si="31"/>
        <v>0.36363636363636365</v>
      </c>
      <c r="S33" s="183">
        <v>2850000</v>
      </c>
      <c r="T33" s="184">
        <f t="shared" si="28"/>
        <v>0.45454545454545453</v>
      </c>
      <c r="U33" s="183">
        <v>2850000</v>
      </c>
      <c r="V33" s="184">
        <f t="shared" si="29"/>
        <v>0.54545454545454541</v>
      </c>
      <c r="W33" s="183">
        <v>2850000</v>
      </c>
      <c r="X33" s="184">
        <f t="shared" si="30"/>
        <v>0.63636363636363635</v>
      </c>
      <c r="Y33" s="183">
        <v>2850000</v>
      </c>
      <c r="Z33" s="184">
        <f t="shared" si="32"/>
        <v>0.72727272727272729</v>
      </c>
      <c r="AA33" s="183">
        <v>2850000</v>
      </c>
      <c r="AB33" s="165">
        <f>SUM(AA33,Y33,W33,U33,S33,Q33,O33,M33,K33,I33,)/F33</f>
        <v>0.81818181818181823</v>
      </c>
      <c r="AC33" s="162"/>
      <c r="AD33" s="162"/>
      <c r="AE33" s="162"/>
      <c r="AF33" s="162"/>
      <c r="AG33" s="158">
        <f t="shared" si="2"/>
        <v>25650000</v>
      </c>
      <c r="AH33" s="159">
        <f>SUM(AG33)/F33</f>
        <v>0.81818181818181823</v>
      </c>
      <c r="AI33" s="183">
        <v>0</v>
      </c>
      <c r="AJ33" s="165">
        <f t="shared" si="4"/>
        <v>0</v>
      </c>
      <c r="AK33" s="183">
        <v>2850000</v>
      </c>
      <c r="AL33" s="165">
        <f t="shared" si="5"/>
        <v>9.0909090909090912E-2</v>
      </c>
      <c r="AM33" s="183">
        <v>2850000</v>
      </c>
      <c r="AN33" s="165">
        <f t="shared" si="6"/>
        <v>0.18181818181818182</v>
      </c>
      <c r="AO33" s="183">
        <v>2850000</v>
      </c>
      <c r="AP33" s="165">
        <f t="shared" si="7"/>
        <v>0.27272727272727271</v>
      </c>
      <c r="AQ33" s="183">
        <v>2850000</v>
      </c>
      <c r="AR33" s="165">
        <f t="shared" si="8"/>
        <v>0.79166666666666663</v>
      </c>
      <c r="AS33" s="183">
        <v>2850000</v>
      </c>
      <c r="AT33" s="165">
        <f t="shared" si="9"/>
        <v>0.45454545454545453</v>
      </c>
      <c r="AU33" s="183">
        <v>2850000</v>
      </c>
      <c r="AV33" s="165">
        <f t="shared" si="10"/>
        <v>0.54545454545454541</v>
      </c>
      <c r="AW33" s="183">
        <v>2850000</v>
      </c>
      <c r="AX33" s="165">
        <f t="shared" si="11"/>
        <v>0.63636363636363635</v>
      </c>
      <c r="AY33" s="183">
        <v>2850000</v>
      </c>
      <c r="AZ33" s="165">
        <f t="shared" si="12"/>
        <v>0.72727272727272729</v>
      </c>
      <c r="BA33" s="183">
        <v>2850000</v>
      </c>
      <c r="BB33" s="165">
        <f t="shared" si="13"/>
        <v>0.81818181818181823</v>
      </c>
      <c r="BC33" s="162"/>
      <c r="BD33" s="162"/>
      <c r="BE33" s="162"/>
      <c r="BF33" s="162"/>
      <c r="BG33" s="158">
        <f t="shared" si="22"/>
        <v>25650000</v>
      </c>
    </row>
    <row r="34" spans="1:59" ht="16.5" thickBot="1" x14ac:dyDescent="0.3">
      <c r="A34" s="197" t="s">
        <v>128</v>
      </c>
      <c r="B34" s="188" t="s">
        <v>129</v>
      </c>
      <c r="C34" s="94" t="s">
        <v>130</v>
      </c>
      <c r="D34" s="52">
        <v>14400000</v>
      </c>
      <c r="E34" s="53"/>
      <c r="F34" s="73">
        <f t="shared" si="23"/>
        <v>14400000</v>
      </c>
      <c r="G34" s="54">
        <v>44958</v>
      </c>
      <c r="H34" s="54">
        <v>45291</v>
      </c>
      <c r="I34" s="183">
        <v>0</v>
      </c>
      <c r="J34" s="184">
        <f t="shared" si="24"/>
        <v>0</v>
      </c>
      <c r="K34" s="183">
        <v>382500</v>
      </c>
      <c r="L34" s="184">
        <f t="shared" si="25"/>
        <v>2.6562499999999999E-2</v>
      </c>
      <c r="M34" s="185">
        <v>0</v>
      </c>
      <c r="N34" s="184">
        <f t="shared" si="26"/>
        <v>2.6562499999999999E-2</v>
      </c>
      <c r="O34" s="185">
        <v>0</v>
      </c>
      <c r="P34" s="184">
        <f t="shared" si="27"/>
        <v>2.6562499999999999E-2</v>
      </c>
      <c r="Q34" s="186">
        <v>0</v>
      </c>
      <c r="R34" s="184">
        <f t="shared" si="31"/>
        <v>2.6562499999999999E-2</v>
      </c>
      <c r="S34" s="186">
        <v>0</v>
      </c>
      <c r="T34" s="184">
        <f t="shared" si="28"/>
        <v>2.6562499999999999E-2</v>
      </c>
      <c r="U34" s="186">
        <v>0</v>
      </c>
      <c r="V34" s="184">
        <f t="shared" si="29"/>
        <v>2.6562499999999999E-2</v>
      </c>
      <c r="W34" s="185">
        <v>2459300</v>
      </c>
      <c r="X34" s="184">
        <f t="shared" si="30"/>
        <v>0.19734722222222223</v>
      </c>
      <c r="Y34" s="185">
        <v>1426058</v>
      </c>
      <c r="Z34" s="184">
        <f t="shared" si="32"/>
        <v>0.2963790277777778</v>
      </c>
      <c r="AA34" s="186"/>
      <c r="AB34" s="186"/>
      <c r="AC34" s="162"/>
      <c r="AD34" s="162"/>
      <c r="AE34" s="162"/>
      <c r="AF34" s="162"/>
      <c r="AG34" s="158">
        <f t="shared" si="2"/>
        <v>4267858</v>
      </c>
      <c r="AH34" s="159">
        <f>SUM(AG34)/F34</f>
        <v>0.2963790277777778</v>
      </c>
      <c r="AI34" s="183">
        <v>0</v>
      </c>
      <c r="AJ34" s="184">
        <f t="shared" si="4"/>
        <v>0</v>
      </c>
      <c r="AK34" s="183">
        <v>382500</v>
      </c>
      <c r="AL34" s="184">
        <f t="shared" si="5"/>
        <v>2.6562499999999999E-2</v>
      </c>
      <c r="AM34" s="185"/>
      <c r="AN34" s="184">
        <f t="shared" si="6"/>
        <v>2.6562499999999999E-2</v>
      </c>
      <c r="AO34" s="185"/>
      <c r="AP34" s="184">
        <f t="shared" si="7"/>
        <v>2.6562499999999999E-2</v>
      </c>
      <c r="AQ34" s="186"/>
      <c r="AR34" s="184">
        <f t="shared" si="8"/>
        <v>0.255</v>
      </c>
      <c r="AS34" s="186"/>
      <c r="AT34" s="165">
        <f t="shared" si="9"/>
        <v>2.6562499999999999E-2</v>
      </c>
      <c r="AU34" s="186"/>
      <c r="AV34" s="184">
        <f t="shared" si="10"/>
        <v>2.6562499999999999E-2</v>
      </c>
      <c r="AW34" s="185">
        <v>2459300</v>
      </c>
      <c r="AX34" s="184">
        <f t="shared" si="11"/>
        <v>0.19734722222222223</v>
      </c>
      <c r="AY34" s="185"/>
      <c r="AZ34" s="184">
        <f t="shared" si="12"/>
        <v>0.19734722222222223</v>
      </c>
      <c r="BA34" s="186"/>
      <c r="BB34" s="165">
        <f t="shared" si="13"/>
        <v>0.19734722222222223</v>
      </c>
      <c r="BC34" s="162"/>
      <c r="BD34" s="162"/>
      <c r="BE34" s="162"/>
      <c r="BF34" s="162"/>
      <c r="BG34" s="158">
        <f t="shared" si="22"/>
        <v>2841800</v>
      </c>
    </row>
    <row r="35" spans="1:59" ht="30.75" thickBot="1" x14ac:dyDescent="0.3">
      <c r="A35" s="202" t="s">
        <v>131</v>
      </c>
      <c r="B35" s="91" t="s">
        <v>132</v>
      </c>
      <c r="C35" s="92">
        <v>1098654458</v>
      </c>
      <c r="D35" s="85">
        <v>1500000</v>
      </c>
      <c r="E35" s="86"/>
      <c r="F35" s="90">
        <f t="shared" si="23"/>
        <v>1500000</v>
      </c>
      <c r="G35" s="87">
        <v>44993</v>
      </c>
      <c r="H35" s="87">
        <v>45052</v>
      </c>
      <c r="I35" s="183">
        <v>0</v>
      </c>
      <c r="J35" s="184">
        <f t="shared" si="24"/>
        <v>0</v>
      </c>
      <c r="K35" s="183">
        <v>0</v>
      </c>
      <c r="L35" s="184">
        <f t="shared" si="25"/>
        <v>0</v>
      </c>
      <c r="M35" s="185">
        <v>1500000</v>
      </c>
      <c r="N35" s="184">
        <f t="shared" si="26"/>
        <v>1</v>
      </c>
      <c r="O35" s="185"/>
      <c r="P35" s="184">
        <f t="shared" si="27"/>
        <v>1</v>
      </c>
      <c r="Q35" s="186"/>
      <c r="R35" s="184">
        <f t="shared" si="31"/>
        <v>1</v>
      </c>
      <c r="S35" s="186"/>
      <c r="T35" s="184">
        <f t="shared" si="28"/>
        <v>1</v>
      </c>
      <c r="U35" s="186"/>
      <c r="V35" s="184">
        <f t="shared" si="29"/>
        <v>1</v>
      </c>
      <c r="W35" s="186"/>
      <c r="X35" s="184">
        <f t="shared" si="30"/>
        <v>1</v>
      </c>
      <c r="Y35" s="186"/>
      <c r="Z35" s="184">
        <f t="shared" si="32"/>
        <v>1</v>
      </c>
      <c r="AA35" s="186"/>
      <c r="AB35" s="186"/>
      <c r="AC35" s="162"/>
      <c r="AD35" s="162"/>
      <c r="AE35" s="162"/>
      <c r="AF35" s="162"/>
      <c r="AG35" s="158">
        <f t="shared" si="2"/>
        <v>1500000</v>
      </c>
      <c r="AH35" s="159">
        <f>SUM(AG35)/F35</f>
        <v>1</v>
      </c>
      <c r="AI35" s="183">
        <v>0</v>
      </c>
      <c r="AJ35" s="165">
        <f t="shared" si="4"/>
        <v>0</v>
      </c>
      <c r="AK35" s="183">
        <v>0</v>
      </c>
      <c r="AL35" s="165">
        <f t="shared" si="5"/>
        <v>0</v>
      </c>
      <c r="AM35" s="185">
        <v>1500000</v>
      </c>
      <c r="AN35" s="165">
        <f t="shared" si="6"/>
        <v>1</v>
      </c>
      <c r="AO35" s="185"/>
      <c r="AP35" s="165">
        <f t="shared" si="7"/>
        <v>1</v>
      </c>
      <c r="AQ35" s="186"/>
      <c r="AR35" s="165">
        <f t="shared" si="8"/>
        <v>0.10518506259913692</v>
      </c>
      <c r="AS35" s="186"/>
      <c r="AT35" s="165">
        <f t="shared" si="9"/>
        <v>1</v>
      </c>
      <c r="AU35" s="186"/>
      <c r="AV35" s="165">
        <f t="shared" si="10"/>
        <v>1</v>
      </c>
      <c r="AW35" s="186"/>
      <c r="AX35" s="165">
        <f t="shared" si="11"/>
        <v>1</v>
      </c>
      <c r="AY35" s="186"/>
      <c r="AZ35" s="165">
        <f t="shared" si="12"/>
        <v>1</v>
      </c>
      <c r="BA35" s="186"/>
      <c r="BB35" s="165">
        <f t="shared" si="13"/>
        <v>1</v>
      </c>
      <c r="BC35" s="162"/>
      <c r="BD35" s="162"/>
      <c r="BE35" s="162"/>
      <c r="BF35" s="162"/>
      <c r="BG35" s="158">
        <f t="shared" si="22"/>
        <v>1500000</v>
      </c>
    </row>
    <row r="36" spans="1:59" ht="17.25" thickBot="1" x14ac:dyDescent="0.3">
      <c r="A36" s="202" t="s">
        <v>133</v>
      </c>
      <c r="B36" s="189" t="s">
        <v>134</v>
      </c>
      <c r="C36" s="101">
        <v>1005280717</v>
      </c>
      <c r="D36" s="85">
        <v>14260580</v>
      </c>
      <c r="E36" s="86"/>
      <c r="F36" s="90">
        <f t="shared" si="23"/>
        <v>14260580</v>
      </c>
      <c r="G36" s="87">
        <v>44993</v>
      </c>
      <c r="H36" s="87">
        <v>45291</v>
      </c>
      <c r="I36" s="183">
        <v>0</v>
      </c>
      <c r="J36" s="184">
        <f t="shared" si="24"/>
        <v>0</v>
      </c>
      <c r="K36" s="183">
        <v>0</v>
      </c>
      <c r="L36" s="184">
        <f t="shared" si="25"/>
        <v>0</v>
      </c>
      <c r="M36" s="185">
        <v>1426058</v>
      </c>
      <c r="N36" s="184">
        <f t="shared" si="26"/>
        <v>0.1</v>
      </c>
      <c r="O36" s="185">
        <v>1426058</v>
      </c>
      <c r="P36" s="184">
        <f t="shared" si="27"/>
        <v>0.2</v>
      </c>
      <c r="Q36" s="185">
        <v>1426058</v>
      </c>
      <c r="R36" s="184">
        <f t="shared" si="31"/>
        <v>0.3</v>
      </c>
      <c r="S36" s="185">
        <v>1426058</v>
      </c>
      <c r="T36" s="184">
        <f t="shared" si="28"/>
        <v>0.4</v>
      </c>
      <c r="U36" s="185">
        <v>1426058</v>
      </c>
      <c r="V36" s="184">
        <f t="shared" si="29"/>
        <v>0.5</v>
      </c>
      <c r="W36" s="185">
        <v>1426058</v>
      </c>
      <c r="X36" s="184">
        <f t="shared" si="30"/>
        <v>0.6</v>
      </c>
      <c r="Y36" s="185">
        <v>1426058</v>
      </c>
      <c r="Z36" s="184">
        <f t="shared" si="32"/>
        <v>0.7</v>
      </c>
      <c r="AA36" s="185">
        <v>1426058</v>
      </c>
      <c r="AB36" s="184">
        <f>SUM(AA36,Y36,W36,U36,S36,Q36,O36,M36)/D36</f>
        <v>0.8</v>
      </c>
      <c r="AC36" s="162"/>
      <c r="AD36" s="162"/>
      <c r="AE36" s="162"/>
      <c r="AF36" s="162"/>
      <c r="AG36" s="158">
        <f>SUM(I36,K36,M36,O36,Q36,S36,U36,W36,Y36,AA36,AC36,AE36)</f>
        <v>11408464</v>
      </c>
      <c r="AH36" s="159">
        <f t="shared" si="3"/>
        <v>0.8</v>
      </c>
      <c r="AI36" s="183">
        <v>0</v>
      </c>
      <c r="AJ36" s="165">
        <f t="shared" si="4"/>
        <v>0</v>
      </c>
      <c r="AK36" s="183">
        <v>0</v>
      </c>
      <c r="AL36" s="165">
        <f t="shared" si="5"/>
        <v>0</v>
      </c>
      <c r="AM36" s="185">
        <v>1426058</v>
      </c>
      <c r="AN36" s="165">
        <f t="shared" si="6"/>
        <v>0.1</v>
      </c>
      <c r="AO36" s="185">
        <v>1426058</v>
      </c>
      <c r="AP36" s="165">
        <f t="shared" si="7"/>
        <v>0.2</v>
      </c>
      <c r="AQ36" s="185">
        <v>1426058</v>
      </c>
      <c r="AR36" s="165">
        <f t="shared" si="8"/>
        <v>0.46623649979827753</v>
      </c>
      <c r="AS36" s="185">
        <v>1426058</v>
      </c>
      <c r="AT36" s="165">
        <f t="shared" si="9"/>
        <v>0.4</v>
      </c>
      <c r="AU36" s="185">
        <v>1426058</v>
      </c>
      <c r="AV36" s="165">
        <f t="shared" si="10"/>
        <v>0.5</v>
      </c>
      <c r="AW36" s="185">
        <v>1426058</v>
      </c>
      <c r="AX36" s="165">
        <f t="shared" si="11"/>
        <v>0.6</v>
      </c>
      <c r="AY36" s="185">
        <v>1426058</v>
      </c>
      <c r="AZ36" s="165">
        <f t="shared" si="12"/>
        <v>0.7</v>
      </c>
      <c r="BA36" s="185">
        <v>1426058</v>
      </c>
      <c r="BB36" s="165">
        <f t="shared" si="13"/>
        <v>0.8</v>
      </c>
      <c r="BC36" s="162"/>
      <c r="BD36" s="162"/>
      <c r="BE36" s="162"/>
      <c r="BF36" s="162"/>
      <c r="BG36" s="158">
        <f>SUM(AI36,AK36,AM36,AO36,AQ36,AS36,AU36,AW36,AY36,BA36,BC36,BE36)</f>
        <v>11408464</v>
      </c>
    </row>
    <row r="37" spans="1:59" ht="16.5" thickBot="1" x14ac:dyDescent="0.3">
      <c r="A37" s="198" t="s">
        <v>135</v>
      </c>
      <c r="B37" s="103" t="s">
        <v>137</v>
      </c>
      <c r="C37" s="102">
        <v>1003250506</v>
      </c>
      <c r="D37" s="105">
        <v>9175974</v>
      </c>
      <c r="E37" s="99"/>
      <c r="F37" s="98">
        <f>D37</f>
        <v>9175974</v>
      </c>
      <c r="G37" s="100">
        <v>45026</v>
      </c>
      <c r="H37" s="100">
        <v>45107</v>
      </c>
      <c r="I37" s="183">
        <v>0</v>
      </c>
      <c r="J37" s="184">
        <f t="shared" si="24"/>
        <v>0</v>
      </c>
      <c r="K37" s="183">
        <v>0</v>
      </c>
      <c r="L37" s="184">
        <f t="shared" si="25"/>
        <v>0</v>
      </c>
      <c r="M37" s="185">
        <v>0</v>
      </c>
      <c r="N37" s="184">
        <f t="shared" si="26"/>
        <v>0</v>
      </c>
      <c r="O37" s="185">
        <v>3058658</v>
      </c>
      <c r="P37" s="184">
        <f t="shared" si="27"/>
        <v>0.33333333333333331</v>
      </c>
      <c r="Q37" s="185">
        <v>3058658</v>
      </c>
      <c r="R37" s="184">
        <f t="shared" si="31"/>
        <v>0.66666666666666663</v>
      </c>
      <c r="S37" s="185">
        <v>3058658</v>
      </c>
      <c r="T37" s="184">
        <f t="shared" si="28"/>
        <v>1</v>
      </c>
      <c r="U37" s="185"/>
      <c r="V37" s="184">
        <f t="shared" si="29"/>
        <v>1</v>
      </c>
      <c r="W37" s="186"/>
      <c r="X37" s="184">
        <f t="shared" si="30"/>
        <v>1</v>
      </c>
      <c r="Y37" s="186"/>
      <c r="Z37" s="184">
        <f t="shared" si="32"/>
        <v>1</v>
      </c>
      <c r="AA37" s="186"/>
      <c r="AB37" s="186"/>
      <c r="AC37" s="162"/>
      <c r="AD37" s="162"/>
      <c r="AE37" s="162"/>
      <c r="AF37" s="162"/>
      <c r="AG37" s="158">
        <f t="shared" si="2"/>
        <v>9175974</v>
      </c>
      <c r="AH37" s="159">
        <f t="shared" si="3"/>
        <v>1</v>
      </c>
      <c r="AI37" s="183">
        <v>0</v>
      </c>
      <c r="AJ37" s="165">
        <f t="shared" si="4"/>
        <v>0</v>
      </c>
      <c r="AK37" s="183">
        <v>0</v>
      </c>
      <c r="AL37" s="165">
        <f t="shared" si="5"/>
        <v>0</v>
      </c>
      <c r="AM37" s="185">
        <v>0</v>
      </c>
      <c r="AN37" s="165">
        <f t="shared" si="6"/>
        <v>0</v>
      </c>
      <c r="AO37" s="185">
        <v>3058658</v>
      </c>
      <c r="AP37" s="165">
        <f t="shared" si="7"/>
        <v>0.33333333333333331</v>
      </c>
      <c r="AQ37" s="185">
        <v>3058658</v>
      </c>
      <c r="AR37" s="165">
        <f t="shared" si="8"/>
        <v>0.31803836872057439</v>
      </c>
      <c r="AS37" s="185">
        <v>3058658</v>
      </c>
      <c r="AT37" s="165">
        <f t="shared" si="9"/>
        <v>1</v>
      </c>
      <c r="AU37" s="185"/>
      <c r="AV37" s="165">
        <f t="shared" si="10"/>
        <v>1</v>
      </c>
      <c r="AW37" s="186"/>
      <c r="AX37" s="165">
        <f t="shared" si="11"/>
        <v>1</v>
      </c>
      <c r="AY37" s="186"/>
      <c r="AZ37" s="165">
        <f t="shared" si="12"/>
        <v>1</v>
      </c>
      <c r="BA37" s="186"/>
      <c r="BB37" s="165">
        <f t="shared" si="13"/>
        <v>1</v>
      </c>
      <c r="BC37" s="162"/>
      <c r="BD37" s="162"/>
      <c r="BE37" s="162"/>
      <c r="BF37" s="162"/>
      <c r="BG37" s="158">
        <f>SUM(AI37,AK37,AM37,AO37,AQ37,AS37,AU37,AW37,AY37,BA37,BC37,BE37)</f>
        <v>9175974</v>
      </c>
    </row>
    <row r="38" spans="1:59" ht="16.5" thickBot="1" x14ac:dyDescent="0.3">
      <c r="A38" s="198" t="s">
        <v>136</v>
      </c>
      <c r="B38" s="103" t="s">
        <v>138</v>
      </c>
      <c r="C38" s="102">
        <v>1005384503</v>
      </c>
      <c r="D38" s="104">
        <v>12834522</v>
      </c>
      <c r="E38" s="99">
        <v>6400000</v>
      </c>
      <c r="F38" s="98">
        <f>D38+E38</f>
        <v>19234522</v>
      </c>
      <c r="G38" s="100">
        <v>45026</v>
      </c>
      <c r="H38" s="100">
        <v>45291</v>
      </c>
      <c r="I38" s="183">
        <v>0</v>
      </c>
      <c r="J38" s="184">
        <f t="shared" si="24"/>
        <v>0</v>
      </c>
      <c r="K38" s="183">
        <v>0</v>
      </c>
      <c r="L38" s="184">
        <f t="shared" si="25"/>
        <v>0</v>
      </c>
      <c r="M38" s="185">
        <v>0</v>
      </c>
      <c r="N38" s="184">
        <f t="shared" si="26"/>
        <v>0</v>
      </c>
      <c r="O38" s="185">
        <v>1426058</v>
      </c>
      <c r="P38" s="184">
        <f>(O38+M38+K38+I38)/D38</f>
        <v>0.1111111111111111</v>
      </c>
      <c r="Q38" s="185">
        <v>2226058</v>
      </c>
      <c r="R38" s="184">
        <f>(Q38+O38+M38+K38+I38)/F38</f>
        <v>0.18987297942730264</v>
      </c>
      <c r="S38" s="185">
        <v>2226058</v>
      </c>
      <c r="T38" s="184">
        <f t="shared" si="28"/>
        <v>0.30560541093768795</v>
      </c>
      <c r="U38" s="185">
        <v>2226058</v>
      </c>
      <c r="V38" s="184">
        <f t="shared" si="29"/>
        <v>0.42133784244807332</v>
      </c>
      <c r="W38" s="185">
        <v>2226058</v>
      </c>
      <c r="X38" s="184">
        <f t="shared" si="30"/>
        <v>0.53707027395845863</v>
      </c>
      <c r="Y38" s="185">
        <v>2338558</v>
      </c>
      <c r="Z38" s="184">
        <f t="shared" si="32"/>
        <v>0.65865156409917547</v>
      </c>
      <c r="AA38" s="185">
        <v>2113558</v>
      </c>
      <c r="AB38" s="184">
        <f>SUM(AA38,Y38,W38,U38,S38,Q38,O38)/F38</f>
        <v>0.76853513697922937</v>
      </c>
      <c r="AC38" s="162"/>
      <c r="AD38" s="162"/>
      <c r="AE38" s="162"/>
      <c r="AF38" s="162"/>
      <c r="AG38" s="158">
        <f t="shared" si="2"/>
        <v>14782406</v>
      </c>
      <c r="AH38" s="159">
        <f t="shared" si="3"/>
        <v>0.76853513697922937</v>
      </c>
      <c r="AI38" s="183">
        <v>0</v>
      </c>
      <c r="AJ38" s="165">
        <f t="shared" si="4"/>
        <v>0</v>
      </c>
      <c r="AK38" s="183">
        <v>0</v>
      </c>
      <c r="AL38" s="165">
        <f t="shared" si="5"/>
        <v>0</v>
      </c>
      <c r="AM38" s="185">
        <v>0</v>
      </c>
      <c r="AN38" s="165">
        <f t="shared" si="6"/>
        <v>0</v>
      </c>
      <c r="AO38" s="185">
        <v>1426058</v>
      </c>
      <c r="AP38" s="165">
        <f t="shared" si="7"/>
        <v>7.4140547916917307E-2</v>
      </c>
      <c r="AQ38" s="185">
        <v>2226058</v>
      </c>
      <c r="AR38" s="165">
        <f t="shared" si="8"/>
        <v>0.67134485294117652</v>
      </c>
      <c r="AS38" s="185">
        <v>2226058</v>
      </c>
      <c r="AT38" s="165">
        <f t="shared" si="9"/>
        <v>0.30560541093768795</v>
      </c>
      <c r="AU38" s="185">
        <v>2226058</v>
      </c>
      <c r="AV38" s="165">
        <f t="shared" si="10"/>
        <v>0.42133784244807332</v>
      </c>
      <c r="AW38" s="185">
        <v>2226058</v>
      </c>
      <c r="AX38" s="165">
        <f t="shared" si="11"/>
        <v>0.53707027395845863</v>
      </c>
      <c r="AY38" s="185">
        <v>2338558</v>
      </c>
      <c r="AZ38" s="165">
        <f t="shared" si="12"/>
        <v>0.65865156409917547</v>
      </c>
      <c r="BA38" s="185">
        <v>2113558</v>
      </c>
      <c r="BB38" s="165">
        <f t="shared" si="13"/>
        <v>1.1517691114635979</v>
      </c>
      <c r="BC38" s="162"/>
      <c r="BD38" s="162"/>
      <c r="BE38" s="162"/>
      <c r="BF38" s="162"/>
      <c r="BG38" s="158">
        <f>SUM(AI38,AK38,AM38,AO38,AQ38,AS38,AU38,AW38,AY38,BA38,BC38,BE38)</f>
        <v>14782406</v>
      </c>
    </row>
    <row r="39" spans="1:59" ht="17.25" thickBot="1" x14ac:dyDescent="0.3">
      <c r="A39" s="199" t="s">
        <v>139</v>
      </c>
      <c r="B39" s="190" t="s">
        <v>140</v>
      </c>
      <c r="C39" s="107">
        <v>1096183905</v>
      </c>
      <c r="D39" s="116">
        <v>5440000</v>
      </c>
      <c r="E39" s="108"/>
      <c r="F39" s="109">
        <f>D39</f>
        <v>5440000</v>
      </c>
      <c r="G39" s="110">
        <v>45048</v>
      </c>
      <c r="H39" s="111">
        <v>45062</v>
      </c>
      <c r="I39" s="183">
        <v>0</v>
      </c>
      <c r="J39" s="184">
        <f t="shared" si="24"/>
        <v>0</v>
      </c>
      <c r="K39" s="183">
        <v>0</v>
      </c>
      <c r="L39" s="184">
        <f t="shared" si="25"/>
        <v>0</v>
      </c>
      <c r="M39" s="185">
        <v>0</v>
      </c>
      <c r="N39" s="184">
        <f t="shared" si="26"/>
        <v>0</v>
      </c>
      <c r="O39" s="185">
        <v>0</v>
      </c>
      <c r="P39" s="184">
        <f t="shared" si="27"/>
        <v>0</v>
      </c>
      <c r="Q39" s="185">
        <v>5440000</v>
      </c>
      <c r="R39" s="184">
        <f t="shared" si="31"/>
        <v>1</v>
      </c>
      <c r="S39" s="186"/>
      <c r="T39" s="184">
        <f t="shared" si="28"/>
        <v>1</v>
      </c>
      <c r="U39" s="186"/>
      <c r="V39" s="184">
        <f t="shared" si="29"/>
        <v>1</v>
      </c>
      <c r="W39" s="186"/>
      <c r="X39" s="184">
        <f t="shared" si="30"/>
        <v>1</v>
      </c>
      <c r="Y39" s="186"/>
      <c r="Z39" s="184">
        <f t="shared" si="32"/>
        <v>1</v>
      </c>
      <c r="AA39" s="186"/>
      <c r="AB39" s="186"/>
      <c r="AC39" s="162"/>
      <c r="AD39" s="162"/>
      <c r="AE39" s="162"/>
      <c r="AF39" s="162"/>
      <c r="AG39" s="158">
        <f t="shared" si="2"/>
        <v>5440000</v>
      </c>
      <c r="AH39" s="159">
        <f t="shared" si="3"/>
        <v>1</v>
      </c>
      <c r="AI39" s="183">
        <v>0</v>
      </c>
      <c r="AJ39" s="165">
        <f t="shared" si="4"/>
        <v>0</v>
      </c>
      <c r="AK39" s="183">
        <v>0</v>
      </c>
      <c r="AL39" s="165">
        <f t="shared" si="5"/>
        <v>0</v>
      </c>
      <c r="AM39" s="185">
        <v>0</v>
      </c>
      <c r="AN39" s="165">
        <f t="shared" si="6"/>
        <v>0</v>
      </c>
      <c r="AO39" s="185">
        <v>0</v>
      </c>
      <c r="AP39" s="165">
        <f t="shared" si="7"/>
        <v>0</v>
      </c>
      <c r="AQ39" s="185">
        <v>5440000</v>
      </c>
      <c r="AR39" s="165">
        <f t="shared" si="8"/>
        <v>0.47683895044942071</v>
      </c>
      <c r="AS39" s="186"/>
      <c r="AT39" s="165">
        <f t="shared" si="9"/>
        <v>1</v>
      </c>
      <c r="AU39" s="186"/>
      <c r="AV39" s="165">
        <f t="shared" si="10"/>
        <v>1</v>
      </c>
      <c r="AW39" s="186"/>
      <c r="AX39" s="165">
        <f t="shared" si="11"/>
        <v>1</v>
      </c>
      <c r="AY39" s="186"/>
      <c r="AZ39" s="165">
        <f t="shared" si="12"/>
        <v>1</v>
      </c>
      <c r="BA39" s="186"/>
      <c r="BB39" s="165">
        <f t="shared" si="13"/>
        <v>1</v>
      </c>
      <c r="BC39" s="162"/>
      <c r="BD39" s="162"/>
      <c r="BE39" s="162"/>
      <c r="BF39" s="162"/>
      <c r="BG39" s="158">
        <f>SUM(AI39,AK39,AM39,AO39,AQ39,AS39,AU39,AW39,AY39,BA39,BC39,BE39)</f>
        <v>5440000</v>
      </c>
    </row>
    <row r="40" spans="1:59" ht="32.25" thickBot="1" x14ac:dyDescent="0.3">
      <c r="A40" s="199" t="s">
        <v>141</v>
      </c>
      <c r="B40" s="204" t="s">
        <v>180</v>
      </c>
      <c r="C40" s="107">
        <v>1099874789</v>
      </c>
      <c r="D40" s="112">
        <v>11408464</v>
      </c>
      <c r="E40" s="113"/>
      <c r="F40" s="114">
        <f>D40</f>
        <v>11408464</v>
      </c>
      <c r="G40" s="110">
        <v>45056</v>
      </c>
      <c r="H40" s="110">
        <v>45291</v>
      </c>
      <c r="I40" s="183">
        <v>0</v>
      </c>
      <c r="J40" s="184">
        <f t="shared" si="24"/>
        <v>0</v>
      </c>
      <c r="K40" s="183">
        <v>0</v>
      </c>
      <c r="L40" s="184">
        <f t="shared" si="25"/>
        <v>0</v>
      </c>
      <c r="M40" s="185">
        <v>0</v>
      </c>
      <c r="N40" s="184">
        <f t="shared" si="26"/>
        <v>0</v>
      </c>
      <c r="O40" s="185">
        <v>0</v>
      </c>
      <c r="P40" s="184">
        <f t="shared" si="27"/>
        <v>0</v>
      </c>
      <c r="Q40" s="185">
        <v>1426058</v>
      </c>
      <c r="R40" s="184">
        <f t="shared" si="31"/>
        <v>0.125</v>
      </c>
      <c r="S40" s="185">
        <v>1426058</v>
      </c>
      <c r="T40" s="184">
        <f t="shared" si="28"/>
        <v>0.25</v>
      </c>
      <c r="U40" s="185">
        <v>1426058</v>
      </c>
      <c r="V40" s="184">
        <f t="shared" si="29"/>
        <v>0.375</v>
      </c>
      <c r="W40" s="185">
        <v>1426058</v>
      </c>
      <c r="X40" s="184">
        <f t="shared" si="30"/>
        <v>0.5</v>
      </c>
      <c r="Y40" s="185">
        <v>1426058</v>
      </c>
      <c r="Z40" s="184">
        <f t="shared" si="32"/>
        <v>0.625</v>
      </c>
      <c r="AA40" s="185">
        <v>1426058</v>
      </c>
      <c r="AB40" s="184">
        <f>SUM(AA40,Y40,W40,U40,S40,Q40)/F40</f>
        <v>0.75</v>
      </c>
      <c r="AC40" s="162"/>
      <c r="AD40" s="162"/>
      <c r="AE40" s="162"/>
      <c r="AF40" s="162"/>
      <c r="AG40" s="158">
        <f>SUM(I40,K40,M40,O40,Q40,S40,U40,W40,Y40,AA40,AC40,AE40)</f>
        <v>8556348</v>
      </c>
      <c r="AH40" s="159">
        <f t="shared" si="3"/>
        <v>0.75</v>
      </c>
      <c r="AI40" s="183">
        <v>0</v>
      </c>
      <c r="AJ40" s="165">
        <f t="shared" si="4"/>
        <v>0</v>
      </c>
      <c r="AK40" s="183">
        <v>0</v>
      </c>
      <c r="AL40" s="165">
        <f t="shared" si="5"/>
        <v>0</v>
      </c>
      <c r="AM40" s="185">
        <v>0</v>
      </c>
      <c r="AN40" s="165">
        <f t="shared" si="6"/>
        <v>0</v>
      </c>
      <c r="AO40" s="185">
        <v>0</v>
      </c>
      <c r="AP40" s="165">
        <f t="shared" si="7"/>
        <v>0</v>
      </c>
      <c r="AQ40" s="185">
        <v>1426058</v>
      </c>
      <c r="AR40" s="165">
        <f t="shared" si="8"/>
        <v>0.125</v>
      </c>
      <c r="AS40" s="185">
        <v>1426058</v>
      </c>
      <c r="AT40" s="165">
        <f t="shared" si="9"/>
        <v>0.25</v>
      </c>
      <c r="AU40" s="185">
        <v>1426058</v>
      </c>
      <c r="AV40" s="165">
        <f t="shared" si="10"/>
        <v>0.375</v>
      </c>
      <c r="AW40" s="185">
        <v>1426058</v>
      </c>
      <c r="AX40" s="165">
        <f t="shared" si="11"/>
        <v>0.5</v>
      </c>
      <c r="AY40" s="185">
        <v>1426058</v>
      </c>
      <c r="AZ40" s="165">
        <f t="shared" si="12"/>
        <v>0.625</v>
      </c>
      <c r="BA40" s="185">
        <v>1426058</v>
      </c>
      <c r="BB40" s="165">
        <f t="shared" si="13"/>
        <v>0.75</v>
      </c>
      <c r="BC40" s="162"/>
      <c r="BD40" s="162"/>
      <c r="BE40" s="162"/>
      <c r="BF40" s="162"/>
      <c r="BG40" s="158">
        <f>SUM(AI40,AK40,AM40,AO40,AQ40,AS40,AU40,AW40,AY40,BA40,BC40,BE40)</f>
        <v>8556348</v>
      </c>
    </row>
    <row r="41" spans="1:59" ht="16.5" thickBot="1" x14ac:dyDescent="0.3">
      <c r="A41" s="200" t="s">
        <v>142</v>
      </c>
      <c r="B41" s="191" t="s">
        <v>143</v>
      </c>
      <c r="C41" s="115">
        <v>28024123</v>
      </c>
      <c r="D41" s="116">
        <v>11408464</v>
      </c>
      <c r="E41" s="117"/>
      <c r="F41" s="118">
        <f>D41</f>
        <v>11408464</v>
      </c>
      <c r="G41" s="111">
        <v>45056</v>
      </c>
      <c r="H41" s="111">
        <v>45291</v>
      </c>
      <c r="I41" s="183">
        <v>0</v>
      </c>
      <c r="J41" s="184">
        <f t="shared" si="24"/>
        <v>0</v>
      </c>
      <c r="K41" s="183">
        <v>0</v>
      </c>
      <c r="L41" s="184">
        <f t="shared" si="25"/>
        <v>0</v>
      </c>
      <c r="M41" s="185">
        <v>0</v>
      </c>
      <c r="N41" s="184">
        <f t="shared" si="26"/>
        <v>0</v>
      </c>
      <c r="O41" s="185">
        <v>0</v>
      </c>
      <c r="P41" s="184">
        <f t="shared" si="27"/>
        <v>0</v>
      </c>
      <c r="Q41" s="185">
        <v>1426058</v>
      </c>
      <c r="R41" s="184">
        <f t="shared" si="31"/>
        <v>0.125</v>
      </c>
      <c r="S41" s="185">
        <v>1426058</v>
      </c>
      <c r="T41" s="184">
        <f t="shared" si="28"/>
        <v>0.25</v>
      </c>
      <c r="U41" s="185">
        <v>1426058</v>
      </c>
      <c r="V41" s="184">
        <f t="shared" si="29"/>
        <v>0.375</v>
      </c>
      <c r="W41" s="185">
        <v>1426058</v>
      </c>
      <c r="X41" s="184">
        <f t="shared" si="30"/>
        <v>0.5</v>
      </c>
      <c r="Y41" s="185">
        <v>1426058</v>
      </c>
      <c r="Z41" s="184">
        <f t="shared" si="32"/>
        <v>0.625</v>
      </c>
      <c r="AA41" s="185">
        <v>1426058</v>
      </c>
      <c r="AB41" s="184">
        <f>SUM(AA41,Y41,W41,U41,S41,Q41)/F41</f>
        <v>0.75</v>
      </c>
      <c r="AC41" s="162"/>
      <c r="AD41" s="162"/>
      <c r="AE41" s="162"/>
      <c r="AF41" s="162"/>
      <c r="AG41" s="158">
        <f t="shared" si="2"/>
        <v>8556348</v>
      </c>
      <c r="AH41" s="159">
        <f t="shared" si="3"/>
        <v>0.75</v>
      </c>
      <c r="AI41" s="183">
        <v>0</v>
      </c>
      <c r="AJ41" s="165">
        <f t="shared" si="4"/>
        <v>0</v>
      </c>
      <c r="AK41" s="183">
        <v>0</v>
      </c>
      <c r="AL41" s="165">
        <f t="shared" si="5"/>
        <v>0</v>
      </c>
      <c r="AM41" s="185">
        <v>0</v>
      </c>
      <c r="AN41" s="165">
        <f t="shared" si="6"/>
        <v>0</v>
      </c>
      <c r="AO41" s="185">
        <v>0</v>
      </c>
      <c r="AP41" s="165">
        <f t="shared" si="7"/>
        <v>0</v>
      </c>
      <c r="AQ41" s="185">
        <v>1426058</v>
      </c>
      <c r="AR41" s="165">
        <f t="shared" si="8"/>
        <v>0.47535266666666665</v>
      </c>
      <c r="AS41" s="185">
        <v>1426058</v>
      </c>
      <c r="AT41" s="165">
        <f t="shared" si="9"/>
        <v>0.25</v>
      </c>
      <c r="AU41" s="185">
        <v>1426058</v>
      </c>
      <c r="AV41" s="165">
        <f t="shared" si="10"/>
        <v>0.375</v>
      </c>
      <c r="AW41" s="185">
        <v>1426058</v>
      </c>
      <c r="AX41" s="165">
        <f t="shared" si="11"/>
        <v>0.5</v>
      </c>
      <c r="AY41" s="185">
        <v>1426058</v>
      </c>
      <c r="AZ41" s="165">
        <f t="shared" si="12"/>
        <v>0.625</v>
      </c>
      <c r="BA41" s="185">
        <v>1426058</v>
      </c>
      <c r="BB41" s="165">
        <f t="shared" si="13"/>
        <v>0.75</v>
      </c>
      <c r="BC41" s="162"/>
      <c r="BD41" s="162"/>
      <c r="BE41" s="162"/>
      <c r="BF41" s="162"/>
      <c r="BG41" s="158">
        <f t="shared" ref="BG41:BG50" si="33">SUM(AI41,AK41,AM41,AO41,AQ41,AS41,AU41,AW41,AY41,BA41,BC41,BE41)</f>
        <v>8556348</v>
      </c>
    </row>
    <row r="42" spans="1:59" ht="17.25" thickBot="1" x14ac:dyDescent="0.3">
      <c r="A42" s="200" t="s">
        <v>144</v>
      </c>
      <c r="B42" s="192" t="s">
        <v>145</v>
      </c>
      <c r="C42" s="119">
        <v>1098721547</v>
      </c>
      <c r="D42" s="120">
        <v>3000000</v>
      </c>
      <c r="E42" s="117"/>
      <c r="F42" s="118">
        <f>D42</f>
        <v>3000000</v>
      </c>
      <c r="G42" s="111">
        <v>45056</v>
      </c>
      <c r="H42" s="111">
        <v>45291</v>
      </c>
      <c r="I42" s="183">
        <v>0</v>
      </c>
      <c r="J42" s="184">
        <f t="shared" si="24"/>
        <v>0</v>
      </c>
      <c r="K42" s="183">
        <v>0</v>
      </c>
      <c r="L42" s="184">
        <f t="shared" si="25"/>
        <v>0</v>
      </c>
      <c r="M42" s="185">
        <v>0</v>
      </c>
      <c r="N42" s="184">
        <f t="shared" si="26"/>
        <v>0</v>
      </c>
      <c r="O42" s="185">
        <v>0</v>
      </c>
      <c r="P42" s="184">
        <f t="shared" si="27"/>
        <v>0</v>
      </c>
      <c r="Q42" s="186">
        <v>0</v>
      </c>
      <c r="R42" s="184">
        <f t="shared" si="31"/>
        <v>0</v>
      </c>
      <c r="S42" s="186">
        <v>0</v>
      </c>
      <c r="T42" s="184">
        <f t="shared" si="28"/>
        <v>0</v>
      </c>
      <c r="U42" s="186">
        <v>0</v>
      </c>
      <c r="V42" s="184">
        <f t="shared" si="29"/>
        <v>0</v>
      </c>
      <c r="W42" s="186">
        <v>0</v>
      </c>
      <c r="X42" s="184">
        <f t="shared" si="30"/>
        <v>0</v>
      </c>
      <c r="Y42" s="186">
        <v>0</v>
      </c>
      <c r="Z42" s="184">
        <f t="shared" si="32"/>
        <v>0</v>
      </c>
      <c r="AA42" s="185">
        <v>1500000</v>
      </c>
      <c r="AB42" s="184">
        <f>SUM(AA42,Y42,W42,U42,S42,Q42)/F42</f>
        <v>0.5</v>
      </c>
      <c r="AC42" s="162"/>
      <c r="AD42" s="162"/>
      <c r="AE42" s="162"/>
      <c r="AF42" s="162"/>
      <c r="AG42" s="158">
        <f t="shared" si="2"/>
        <v>1500000</v>
      </c>
      <c r="AH42" s="159">
        <f t="shared" si="3"/>
        <v>0.5</v>
      </c>
      <c r="AI42" s="183">
        <v>0</v>
      </c>
      <c r="AJ42" s="165">
        <f t="shared" si="4"/>
        <v>0</v>
      </c>
      <c r="AK42" s="183">
        <v>0</v>
      </c>
      <c r="AL42" s="165">
        <f t="shared" si="5"/>
        <v>0</v>
      </c>
      <c r="AM42" s="185">
        <v>0</v>
      </c>
      <c r="AN42" s="165">
        <f t="shared" si="6"/>
        <v>0</v>
      </c>
      <c r="AO42" s="185">
        <v>0</v>
      </c>
      <c r="AP42" s="165">
        <f t="shared" si="7"/>
        <v>0</v>
      </c>
      <c r="AQ42" s="186">
        <v>0</v>
      </c>
      <c r="AR42" s="165">
        <f t="shared" si="8"/>
        <v>0</v>
      </c>
      <c r="AS42" s="186">
        <v>0</v>
      </c>
      <c r="AT42" s="165">
        <f t="shared" si="9"/>
        <v>0</v>
      </c>
      <c r="AU42" s="186">
        <v>0</v>
      </c>
      <c r="AV42" s="165">
        <f t="shared" si="10"/>
        <v>0</v>
      </c>
      <c r="AW42" s="186">
        <v>0</v>
      </c>
      <c r="AX42" s="165">
        <f t="shared" si="11"/>
        <v>0</v>
      </c>
      <c r="AY42" s="186">
        <v>0</v>
      </c>
      <c r="AZ42" s="165">
        <f t="shared" si="12"/>
        <v>0</v>
      </c>
      <c r="BA42" s="185">
        <v>1500000</v>
      </c>
      <c r="BB42" s="165">
        <f t="shared" si="13"/>
        <v>0.5</v>
      </c>
      <c r="BC42" s="162"/>
      <c r="BD42" s="162"/>
      <c r="BE42" s="162"/>
      <c r="BF42" s="162"/>
      <c r="BG42" s="158">
        <f t="shared" si="33"/>
        <v>1500000</v>
      </c>
    </row>
    <row r="43" spans="1:59" ht="16.5" thickBot="1" x14ac:dyDescent="0.3">
      <c r="A43" s="200" t="s">
        <v>146</v>
      </c>
      <c r="B43" s="191" t="s">
        <v>147</v>
      </c>
      <c r="C43" s="115">
        <v>1099874025</v>
      </c>
      <c r="D43" s="116">
        <v>4000000</v>
      </c>
      <c r="E43" s="117"/>
      <c r="F43" s="118">
        <f>D43</f>
        <v>4000000</v>
      </c>
      <c r="G43" s="111">
        <v>45056</v>
      </c>
      <c r="H43" s="111">
        <v>45291</v>
      </c>
      <c r="I43" s="183">
        <v>0</v>
      </c>
      <c r="J43" s="184">
        <f t="shared" si="24"/>
        <v>0</v>
      </c>
      <c r="K43" s="183">
        <v>0</v>
      </c>
      <c r="L43" s="184">
        <f t="shared" si="25"/>
        <v>0</v>
      </c>
      <c r="M43" s="185">
        <v>0</v>
      </c>
      <c r="N43" s="184">
        <f t="shared" si="26"/>
        <v>0</v>
      </c>
      <c r="O43" s="185">
        <v>0</v>
      </c>
      <c r="P43" s="184">
        <f t="shared" si="27"/>
        <v>0</v>
      </c>
      <c r="Q43" s="186">
        <v>0</v>
      </c>
      <c r="R43" s="184">
        <f t="shared" si="31"/>
        <v>0</v>
      </c>
      <c r="S43" s="186">
        <v>0</v>
      </c>
      <c r="T43" s="184">
        <f t="shared" si="28"/>
        <v>0</v>
      </c>
      <c r="U43" s="186">
        <v>0</v>
      </c>
      <c r="V43" s="184">
        <f t="shared" si="29"/>
        <v>0</v>
      </c>
      <c r="W43" s="186">
        <v>0</v>
      </c>
      <c r="X43" s="184">
        <f t="shared" si="30"/>
        <v>0</v>
      </c>
      <c r="Y43" s="186">
        <v>0</v>
      </c>
      <c r="Z43" s="184">
        <f t="shared" si="32"/>
        <v>0</v>
      </c>
      <c r="AA43" s="186">
        <v>0</v>
      </c>
      <c r="AB43" s="186"/>
      <c r="AC43" s="162"/>
      <c r="AD43" s="162"/>
      <c r="AE43" s="162"/>
      <c r="AF43" s="162"/>
      <c r="AG43" s="158">
        <f t="shared" si="2"/>
        <v>0</v>
      </c>
      <c r="AH43" s="159">
        <f t="shared" si="3"/>
        <v>0</v>
      </c>
      <c r="AI43" s="183">
        <v>0</v>
      </c>
      <c r="AJ43" s="165">
        <f t="shared" si="4"/>
        <v>0</v>
      </c>
      <c r="AK43" s="183">
        <v>0</v>
      </c>
      <c r="AL43" s="165">
        <f t="shared" si="5"/>
        <v>0</v>
      </c>
      <c r="AM43" s="185">
        <v>0</v>
      </c>
      <c r="AN43" s="165">
        <f t="shared" si="6"/>
        <v>0</v>
      </c>
      <c r="AO43" s="185">
        <v>0</v>
      </c>
      <c r="AP43" s="165">
        <f t="shared" si="7"/>
        <v>0</v>
      </c>
      <c r="AQ43" s="186">
        <v>0</v>
      </c>
      <c r="AR43" s="165">
        <f t="shared" si="8"/>
        <v>0</v>
      </c>
      <c r="AS43" s="186">
        <v>0</v>
      </c>
      <c r="AT43" s="165">
        <f t="shared" si="9"/>
        <v>0</v>
      </c>
      <c r="AU43" s="186">
        <v>0</v>
      </c>
      <c r="AV43" s="165">
        <f t="shared" si="10"/>
        <v>0</v>
      </c>
      <c r="AW43" s="186">
        <v>0</v>
      </c>
      <c r="AX43" s="165">
        <f t="shared" si="11"/>
        <v>0</v>
      </c>
      <c r="AY43" s="186">
        <v>0</v>
      </c>
      <c r="AZ43" s="165">
        <f t="shared" si="12"/>
        <v>0</v>
      </c>
      <c r="BA43" s="186">
        <v>0</v>
      </c>
      <c r="BB43" s="165">
        <f t="shared" si="13"/>
        <v>0</v>
      </c>
      <c r="BC43" s="162"/>
      <c r="BD43" s="162"/>
      <c r="BE43" s="162"/>
      <c r="BF43" s="162"/>
      <c r="BG43" s="158">
        <f t="shared" si="33"/>
        <v>0</v>
      </c>
    </row>
    <row r="44" spans="1:59" ht="16.5" thickBot="1" x14ac:dyDescent="0.3">
      <c r="A44" s="200" t="s">
        <v>149</v>
      </c>
      <c r="B44" s="193" t="s">
        <v>150</v>
      </c>
      <c r="C44" s="134" t="s">
        <v>151</v>
      </c>
      <c r="D44" s="132">
        <v>36000000</v>
      </c>
      <c r="E44" s="117"/>
      <c r="F44" s="129">
        <v>36000000</v>
      </c>
      <c r="G44" s="130">
        <v>45071</v>
      </c>
      <c r="H44" s="130">
        <v>45291</v>
      </c>
      <c r="I44" s="183">
        <v>0</v>
      </c>
      <c r="J44" s="184">
        <f t="shared" si="24"/>
        <v>0</v>
      </c>
      <c r="K44" s="183">
        <v>0</v>
      </c>
      <c r="L44" s="184">
        <f t="shared" si="25"/>
        <v>0</v>
      </c>
      <c r="M44" s="185">
        <v>0</v>
      </c>
      <c r="N44" s="184">
        <f t="shared" si="26"/>
        <v>0</v>
      </c>
      <c r="O44" s="185">
        <v>0</v>
      </c>
      <c r="P44" s="184">
        <f t="shared" si="27"/>
        <v>0</v>
      </c>
      <c r="Q44" s="185">
        <v>1900000</v>
      </c>
      <c r="R44" s="184">
        <f t="shared" si="31"/>
        <v>5.2777777777777778E-2</v>
      </c>
      <c r="S44" s="185">
        <v>4300000</v>
      </c>
      <c r="T44" s="184">
        <f t="shared" si="28"/>
        <v>0.17222222222222222</v>
      </c>
      <c r="U44" s="185">
        <v>1440000</v>
      </c>
      <c r="V44" s="184">
        <f t="shared" si="29"/>
        <v>0.21222222222222223</v>
      </c>
      <c r="W44" s="185">
        <v>3105000</v>
      </c>
      <c r="X44" s="184">
        <f t="shared" si="30"/>
        <v>0.29847222222222225</v>
      </c>
      <c r="Y44" s="185">
        <v>5430000</v>
      </c>
      <c r="Z44" s="184">
        <f t="shared" si="32"/>
        <v>0.44930555555555557</v>
      </c>
      <c r="AA44" s="186">
        <v>0</v>
      </c>
      <c r="AB44" s="186"/>
      <c r="AC44" s="162"/>
      <c r="AD44" s="162"/>
      <c r="AE44" s="162"/>
      <c r="AF44" s="162"/>
      <c r="AG44" s="158">
        <f t="shared" si="2"/>
        <v>16175000</v>
      </c>
      <c r="AH44" s="159">
        <f t="shared" si="3"/>
        <v>0.44930555555555557</v>
      </c>
      <c r="AI44" s="183">
        <v>0</v>
      </c>
      <c r="AJ44" s="165">
        <f t="shared" si="4"/>
        <v>0</v>
      </c>
      <c r="AK44" s="183">
        <v>0</v>
      </c>
      <c r="AL44" s="165">
        <f t="shared" si="5"/>
        <v>0</v>
      </c>
      <c r="AM44" s="185">
        <v>0</v>
      </c>
      <c r="AN44" s="165">
        <f t="shared" si="6"/>
        <v>0</v>
      </c>
      <c r="AO44" s="185">
        <v>0</v>
      </c>
      <c r="AP44" s="165">
        <f t="shared" si="7"/>
        <v>0</v>
      </c>
      <c r="AQ44" s="185">
        <v>1900000</v>
      </c>
      <c r="AR44" s="165">
        <f t="shared" si="8"/>
        <v>0.23749999999999999</v>
      </c>
      <c r="AS44" s="185">
        <v>4300000</v>
      </c>
      <c r="AT44" s="165">
        <f t="shared" si="9"/>
        <v>0.17222222222222222</v>
      </c>
      <c r="AU44" s="185">
        <v>1440000</v>
      </c>
      <c r="AV44" s="165">
        <f t="shared" si="10"/>
        <v>0.21222222222222223</v>
      </c>
      <c r="AW44" s="185">
        <v>3105000</v>
      </c>
      <c r="AX44" s="165">
        <f t="shared" si="11"/>
        <v>0.29847222222222225</v>
      </c>
      <c r="AY44" s="185">
        <v>5430000</v>
      </c>
      <c r="AZ44" s="165">
        <f t="shared" si="12"/>
        <v>0.44930555555555557</v>
      </c>
      <c r="BA44" s="186">
        <v>0</v>
      </c>
      <c r="BB44" s="165">
        <f t="shared" si="13"/>
        <v>0.44930555555555557</v>
      </c>
      <c r="BC44" s="162"/>
      <c r="BD44" s="162"/>
      <c r="BE44" s="162"/>
      <c r="BF44" s="162"/>
      <c r="BG44" s="158">
        <f t="shared" si="33"/>
        <v>16175000</v>
      </c>
    </row>
    <row r="45" spans="1:59" ht="16.5" thickBot="1" x14ac:dyDescent="0.3">
      <c r="A45" s="200" t="s">
        <v>152</v>
      </c>
      <c r="B45" s="194" t="s">
        <v>153</v>
      </c>
      <c r="C45" s="131">
        <v>28024131</v>
      </c>
      <c r="D45" s="132">
        <v>8000000</v>
      </c>
      <c r="E45" s="117"/>
      <c r="F45" s="118">
        <f>D45</f>
        <v>8000000</v>
      </c>
      <c r="G45" s="111">
        <v>45071</v>
      </c>
      <c r="H45" s="111">
        <v>45291</v>
      </c>
      <c r="I45" s="183">
        <v>0</v>
      </c>
      <c r="J45" s="184">
        <f t="shared" si="24"/>
        <v>0</v>
      </c>
      <c r="K45" s="183">
        <v>0</v>
      </c>
      <c r="L45" s="184">
        <f t="shared" si="25"/>
        <v>0</v>
      </c>
      <c r="M45" s="185">
        <v>0</v>
      </c>
      <c r="N45" s="184">
        <f t="shared" si="26"/>
        <v>0</v>
      </c>
      <c r="O45" s="185">
        <v>0</v>
      </c>
      <c r="P45" s="184">
        <f t="shared" si="27"/>
        <v>0</v>
      </c>
      <c r="Q45" s="185">
        <v>700000</v>
      </c>
      <c r="R45" s="184">
        <f t="shared" si="31"/>
        <v>8.7499999999999994E-2</v>
      </c>
      <c r="S45" s="185">
        <v>1150000</v>
      </c>
      <c r="T45" s="184">
        <f t="shared" si="28"/>
        <v>0.23125000000000001</v>
      </c>
      <c r="U45" s="185">
        <v>700000</v>
      </c>
      <c r="V45" s="184">
        <f t="shared" si="29"/>
        <v>0.31874999999999998</v>
      </c>
      <c r="W45" s="185">
        <v>700000</v>
      </c>
      <c r="X45" s="184">
        <f t="shared" si="30"/>
        <v>0.40625</v>
      </c>
      <c r="Y45" s="185">
        <v>1400000</v>
      </c>
      <c r="Z45" s="184">
        <f t="shared" si="32"/>
        <v>0.58125000000000004</v>
      </c>
      <c r="AA45" s="186">
        <v>0</v>
      </c>
      <c r="AB45" s="186"/>
      <c r="AC45" s="162"/>
      <c r="AD45" s="162"/>
      <c r="AE45" s="162"/>
      <c r="AF45" s="162"/>
      <c r="AG45" s="158">
        <f t="shared" si="2"/>
        <v>4650000</v>
      </c>
      <c r="AH45" s="159">
        <f t="shared" si="3"/>
        <v>0.58125000000000004</v>
      </c>
      <c r="AI45" s="183">
        <v>0</v>
      </c>
      <c r="AJ45" s="165">
        <f t="shared" si="4"/>
        <v>0</v>
      </c>
      <c r="AK45" s="183">
        <v>0</v>
      </c>
      <c r="AL45" s="165">
        <f t="shared" si="5"/>
        <v>0</v>
      </c>
      <c r="AM45" s="185">
        <v>0</v>
      </c>
      <c r="AN45" s="165">
        <f t="shared" si="6"/>
        <v>0</v>
      </c>
      <c r="AO45" s="185">
        <v>0</v>
      </c>
      <c r="AP45" s="165">
        <f t="shared" si="7"/>
        <v>0</v>
      </c>
      <c r="AQ45" s="185">
        <v>700000</v>
      </c>
      <c r="AR45" s="165">
        <f t="shared" si="8"/>
        <v>8.7499999999999994E-2</v>
      </c>
      <c r="AS45" s="185">
        <v>1150000</v>
      </c>
      <c r="AT45" s="165">
        <f t="shared" si="9"/>
        <v>0.23125000000000001</v>
      </c>
      <c r="AU45" s="185">
        <v>700000</v>
      </c>
      <c r="AV45" s="165">
        <f t="shared" si="10"/>
        <v>0.31874999999999998</v>
      </c>
      <c r="AW45" s="185">
        <v>700000</v>
      </c>
      <c r="AX45" s="165">
        <f t="shared" si="11"/>
        <v>0.40625</v>
      </c>
      <c r="AY45" s="185">
        <v>1400000</v>
      </c>
      <c r="AZ45" s="165">
        <f t="shared" si="12"/>
        <v>0.58125000000000004</v>
      </c>
      <c r="BA45" s="186">
        <v>0</v>
      </c>
      <c r="BB45" s="165">
        <f t="shared" si="13"/>
        <v>0.58125000000000004</v>
      </c>
      <c r="BC45" s="162"/>
      <c r="BD45" s="162"/>
      <c r="BE45" s="162"/>
      <c r="BF45" s="162"/>
      <c r="BG45" s="158">
        <f t="shared" si="33"/>
        <v>4650000</v>
      </c>
    </row>
    <row r="46" spans="1:59" ht="16.5" thickBot="1" x14ac:dyDescent="0.3">
      <c r="A46" s="200" t="s">
        <v>154</v>
      </c>
      <c r="B46" s="193" t="s">
        <v>129</v>
      </c>
      <c r="C46" s="133" t="s">
        <v>130</v>
      </c>
      <c r="D46" s="132">
        <v>8000000</v>
      </c>
      <c r="E46" s="117"/>
      <c r="F46" s="118">
        <v>8000000</v>
      </c>
      <c r="G46" s="111">
        <v>45071</v>
      </c>
      <c r="H46" s="111">
        <v>45291</v>
      </c>
      <c r="I46" s="183">
        <v>0</v>
      </c>
      <c r="J46" s="184">
        <f t="shared" si="24"/>
        <v>0</v>
      </c>
      <c r="K46" s="183">
        <v>0</v>
      </c>
      <c r="L46" s="184">
        <f t="shared" si="25"/>
        <v>0</v>
      </c>
      <c r="M46" s="185">
        <v>0</v>
      </c>
      <c r="N46" s="184">
        <f t="shared" si="26"/>
        <v>0</v>
      </c>
      <c r="O46" s="185">
        <v>0</v>
      </c>
      <c r="P46" s="184">
        <f t="shared" si="27"/>
        <v>0</v>
      </c>
      <c r="Q46" s="186">
        <v>0</v>
      </c>
      <c r="R46" s="184">
        <f t="shared" si="31"/>
        <v>0</v>
      </c>
      <c r="S46" s="186">
        <v>0</v>
      </c>
      <c r="T46" s="184">
        <f t="shared" si="28"/>
        <v>0</v>
      </c>
      <c r="U46" s="185">
        <v>691000</v>
      </c>
      <c r="V46" s="184">
        <f t="shared" si="29"/>
        <v>8.6374999999999993E-2</v>
      </c>
      <c r="W46" s="185">
        <v>1594200</v>
      </c>
      <c r="X46" s="184">
        <f t="shared" si="30"/>
        <v>0.28565000000000002</v>
      </c>
      <c r="Y46" s="185">
        <v>790900</v>
      </c>
      <c r="Z46" s="184">
        <f t="shared" si="32"/>
        <v>0.38451249999999998</v>
      </c>
      <c r="AA46" s="186"/>
      <c r="AB46" s="186"/>
      <c r="AC46" s="162"/>
      <c r="AD46" s="162"/>
      <c r="AE46" s="162"/>
      <c r="AF46" s="162"/>
      <c r="AG46" s="158">
        <f t="shared" si="2"/>
        <v>3076100</v>
      </c>
      <c r="AH46" s="159">
        <f t="shared" si="3"/>
        <v>0.38451249999999998</v>
      </c>
      <c r="AI46" s="183"/>
      <c r="AJ46" s="184">
        <f t="shared" si="4"/>
        <v>0</v>
      </c>
      <c r="AK46" s="183"/>
      <c r="AL46" s="184">
        <f t="shared" si="5"/>
        <v>0</v>
      </c>
      <c r="AM46" s="185"/>
      <c r="AN46" s="165">
        <f t="shared" si="6"/>
        <v>0</v>
      </c>
      <c r="AO46" s="185"/>
      <c r="AP46" s="165">
        <f t="shared" si="7"/>
        <v>0</v>
      </c>
      <c r="AQ46" s="186"/>
      <c r="AR46" s="165">
        <f t="shared" si="8"/>
        <v>0</v>
      </c>
      <c r="AS46" s="186"/>
      <c r="AT46" s="165">
        <f t="shared" si="9"/>
        <v>0</v>
      </c>
      <c r="AU46" s="185">
        <v>691000</v>
      </c>
      <c r="AV46" s="165">
        <f t="shared" si="10"/>
        <v>8.6374999999999993E-2</v>
      </c>
      <c r="AW46" s="185">
        <v>1594200</v>
      </c>
      <c r="AX46" s="165">
        <f t="shared" si="11"/>
        <v>0.28565000000000002</v>
      </c>
      <c r="AY46" s="185">
        <v>790900</v>
      </c>
      <c r="AZ46" s="165">
        <f t="shared" si="12"/>
        <v>0.38451249999999998</v>
      </c>
      <c r="BA46" s="162"/>
      <c r="BB46" s="165">
        <f t="shared" si="13"/>
        <v>0.38451249999999998</v>
      </c>
      <c r="BC46" s="162"/>
      <c r="BD46" s="162"/>
      <c r="BE46" s="162"/>
      <c r="BF46" s="162"/>
      <c r="BG46" s="158">
        <f t="shared" si="33"/>
        <v>3076100</v>
      </c>
    </row>
    <row r="47" spans="1:59" ht="16.5" thickBot="1" x14ac:dyDescent="0.3">
      <c r="A47" s="196" t="s">
        <v>155</v>
      </c>
      <c r="B47" s="195" t="s">
        <v>129</v>
      </c>
      <c r="C47" s="135" t="s">
        <v>130</v>
      </c>
      <c r="D47" s="47">
        <v>4000000</v>
      </c>
      <c r="E47" s="44"/>
      <c r="F47" s="43">
        <f>D47</f>
        <v>4000000</v>
      </c>
      <c r="G47" s="41">
        <v>45086</v>
      </c>
      <c r="H47" s="41">
        <v>45291</v>
      </c>
      <c r="I47" s="183">
        <v>0</v>
      </c>
      <c r="J47" s="184">
        <f t="shared" si="24"/>
        <v>0</v>
      </c>
      <c r="K47" s="183">
        <v>0</v>
      </c>
      <c r="L47" s="184">
        <f t="shared" si="25"/>
        <v>0</v>
      </c>
      <c r="M47" s="185">
        <v>0</v>
      </c>
      <c r="N47" s="184">
        <f t="shared" si="26"/>
        <v>0</v>
      </c>
      <c r="O47" s="185">
        <v>0</v>
      </c>
      <c r="P47" s="184">
        <f t="shared" si="27"/>
        <v>0</v>
      </c>
      <c r="Q47" s="186">
        <v>0</v>
      </c>
      <c r="R47" s="184">
        <f t="shared" si="31"/>
        <v>0</v>
      </c>
      <c r="S47" s="186">
        <v>0</v>
      </c>
      <c r="T47" s="184">
        <f t="shared" si="28"/>
        <v>0</v>
      </c>
      <c r="U47" s="186">
        <v>0</v>
      </c>
      <c r="V47" s="184">
        <f t="shared" si="29"/>
        <v>0</v>
      </c>
      <c r="W47" s="185">
        <v>379000</v>
      </c>
      <c r="X47" s="184">
        <f t="shared" si="30"/>
        <v>9.4750000000000001E-2</v>
      </c>
      <c r="Y47" s="186">
        <v>0</v>
      </c>
      <c r="Z47" s="184">
        <f t="shared" si="32"/>
        <v>9.4750000000000001E-2</v>
      </c>
      <c r="AA47" s="186"/>
      <c r="AB47" s="186"/>
      <c r="AC47" s="162"/>
      <c r="AD47" s="162"/>
      <c r="AE47" s="162"/>
      <c r="AF47" s="162"/>
      <c r="AG47" s="158">
        <f t="shared" si="2"/>
        <v>379000</v>
      </c>
      <c r="AH47" s="159">
        <f t="shared" si="3"/>
        <v>9.4750000000000001E-2</v>
      </c>
      <c r="AI47" s="183"/>
      <c r="AJ47" s="184">
        <f t="shared" si="4"/>
        <v>0</v>
      </c>
      <c r="AK47" s="183"/>
      <c r="AL47" s="184">
        <f t="shared" si="5"/>
        <v>0</v>
      </c>
      <c r="AM47" s="185"/>
      <c r="AN47" s="184">
        <f t="shared" si="6"/>
        <v>0</v>
      </c>
      <c r="AO47" s="185"/>
      <c r="AP47" s="184">
        <f t="shared" si="7"/>
        <v>0</v>
      </c>
      <c r="AQ47" s="186"/>
      <c r="AR47" s="184">
        <f t="shared" si="8"/>
        <v>0</v>
      </c>
      <c r="AS47" s="186"/>
      <c r="AT47" s="184">
        <f t="shared" si="9"/>
        <v>0</v>
      </c>
      <c r="AU47" s="186"/>
      <c r="AV47" s="184">
        <f t="shared" si="10"/>
        <v>0</v>
      </c>
      <c r="AW47" s="185">
        <v>379000</v>
      </c>
      <c r="AX47" s="184">
        <f t="shared" si="11"/>
        <v>9.4750000000000001E-2</v>
      </c>
      <c r="AY47" s="162"/>
      <c r="AZ47" s="165">
        <f t="shared" si="12"/>
        <v>9.4750000000000001E-2</v>
      </c>
      <c r="BA47" s="162"/>
      <c r="BB47" s="165">
        <f t="shared" si="13"/>
        <v>9.4750000000000001E-2</v>
      </c>
      <c r="BC47" s="162"/>
      <c r="BD47" s="162"/>
      <c r="BE47" s="162"/>
      <c r="BF47" s="162"/>
      <c r="BG47" s="158">
        <f t="shared" si="33"/>
        <v>379000</v>
      </c>
    </row>
    <row r="48" spans="1:59" ht="16.5" thickBot="1" x14ac:dyDescent="0.3">
      <c r="A48" s="201" t="s">
        <v>156</v>
      </c>
      <c r="B48" s="136" t="s">
        <v>137</v>
      </c>
      <c r="C48" s="137">
        <v>1003250506</v>
      </c>
      <c r="D48" s="138">
        <v>18351948</v>
      </c>
      <c r="E48" s="139"/>
      <c r="F48" s="141">
        <f>D48</f>
        <v>18351948</v>
      </c>
      <c r="G48" s="140">
        <v>45111</v>
      </c>
      <c r="H48" s="140">
        <v>45291</v>
      </c>
      <c r="I48" s="183">
        <v>0</v>
      </c>
      <c r="J48" s="184">
        <f t="shared" si="24"/>
        <v>0</v>
      </c>
      <c r="K48" s="183">
        <v>0</v>
      </c>
      <c r="L48" s="184">
        <f t="shared" si="25"/>
        <v>0</v>
      </c>
      <c r="M48" s="185">
        <v>0</v>
      </c>
      <c r="N48" s="184">
        <f t="shared" si="26"/>
        <v>0</v>
      </c>
      <c r="O48" s="185">
        <v>0</v>
      </c>
      <c r="P48" s="184">
        <f t="shared" si="27"/>
        <v>0</v>
      </c>
      <c r="Q48" s="186">
        <v>0</v>
      </c>
      <c r="R48" s="184">
        <f t="shared" si="31"/>
        <v>0</v>
      </c>
      <c r="S48" s="186">
        <v>0</v>
      </c>
      <c r="T48" s="184">
        <f t="shared" si="28"/>
        <v>0</v>
      </c>
      <c r="U48" s="185">
        <v>3058658</v>
      </c>
      <c r="V48" s="184">
        <f t="shared" si="29"/>
        <v>0.16666666666666666</v>
      </c>
      <c r="W48" s="185">
        <v>3058658</v>
      </c>
      <c r="X48" s="184">
        <f t="shared" si="30"/>
        <v>0.33333333333333331</v>
      </c>
      <c r="Y48" s="185">
        <v>3058658</v>
      </c>
      <c r="Z48" s="184">
        <f t="shared" si="32"/>
        <v>0.5</v>
      </c>
      <c r="AA48" s="185">
        <v>3058658</v>
      </c>
      <c r="AB48" s="184">
        <f>SUM(AA48,Y48,W48,U48,S48,Q48)/F48</f>
        <v>0.66666666666666663</v>
      </c>
      <c r="AC48" s="162"/>
      <c r="AD48" s="162"/>
      <c r="AE48" s="162"/>
      <c r="AF48" s="162"/>
      <c r="AG48" s="158">
        <f t="shared" si="2"/>
        <v>12234632</v>
      </c>
      <c r="AH48" s="159">
        <f t="shared" si="3"/>
        <v>0.66666666666666663</v>
      </c>
      <c r="AI48" s="183">
        <v>0</v>
      </c>
      <c r="AJ48" s="165">
        <f t="shared" si="4"/>
        <v>0</v>
      </c>
      <c r="AK48" s="183">
        <v>0</v>
      </c>
      <c r="AL48" s="165">
        <f t="shared" si="5"/>
        <v>0</v>
      </c>
      <c r="AM48" s="185">
        <v>0</v>
      </c>
      <c r="AN48" s="165">
        <f t="shared" si="6"/>
        <v>0</v>
      </c>
      <c r="AO48" s="185">
        <v>0</v>
      </c>
      <c r="AP48" s="165">
        <f t="shared" si="7"/>
        <v>0</v>
      </c>
      <c r="AQ48" s="186">
        <v>0</v>
      </c>
      <c r="AR48" s="165">
        <f t="shared" si="8"/>
        <v>0</v>
      </c>
      <c r="AS48" s="186">
        <v>0</v>
      </c>
      <c r="AT48" s="165">
        <f t="shared" si="9"/>
        <v>0</v>
      </c>
      <c r="AU48" s="185">
        <v>3058658</v>
      </c>
      <c r="AV48" s="165">
        <f t="shared" si="10"/>
        <v>0.16666666666666666</v>
      </c>
      <c r="AW48" s="185">
        <v>3058658</v>
      </c>
      <c r="AX48" s="165">
        <f t="shared" si="11"/>
        <v>0.33333333333333331</v>
      </c>
      <c r="AY48" s="185">
        <v>3058658</v>
      </c>
      <c r="AZ48" s="165">
        <f t="shared" si="12"/>
        <v>0.5</v>
      </c>
      <c r="BA48" s="185">
        <v>3058658</v>
      </c>
      <c r="BB48" s="165">
        <f t="shared" si="13"/>
        <v>0.66666666666666663</v>
      </c>
      <c r="BC48" s="162"/>
      <c r="BD48" s="162"/>
      <c r="BE48" s="162"/>
      <c r="BF48" s="162"/>
      <c r="BG48" s="158">
        <f t="shared" si="33"/>
        <v>12234632</v>
      </c>
    </row>
    <row r="49" spans="1:59" ht="16.5" thickBot="1" x14ac:dyDescent="0.3">
      <c r="A49" s="201" t="s">
        <v>157</v>
      </c>
      <c r="B49" s="142" t="s">
        <v>158</v>
      </c>
      <c r="C49" s="137">
        <v>91157893</v>
      </c>
      <c r="D49" s="138">
        <v>22000000</v>
      </c>
      <c r="E49" s="139"/>
      <c r="F49" s="138">
        <f>D49</f>
        <v>22000000</v>
      </c>
      <c r="G49" s="140">
        <v>45118</v>
      </c>
      <c r="H49" s="140">
        <v>45291</v>
      </c>
      <c r="I49" s="183">
        <v>0</v>
      </c>
      <c r="J49" s="184">
        <f t="shared" si="24"/>
        <v>0</v>
      </c>
      <c r="K49" s="183">
        <v>0</v>
      </c>
      <c r="L49" s="184">
        <f t="shared" si="25"/>
        <v>0</v>
      </c>
      <c r="M49" s="185">
        <v>0</v>
      </c>
      <c r="N49" s="184">
        <f t="shared" si="26"/>
        <v>0</v>
      </c>
      <c r="O49" s="185">
        <v>0</v>
      </c>
      <c r="P49" s="184">
        <f t="shared" si="27"/>
        <v>0</v>
      </c>
      <c r="Q49" s="186">
        <v>0</v>
      </c>
      <c r="R49" s="184">
        <f t="shared" si="31"/>
        <v>0</v>
      </c>
      <c r="S49" s="186">
        <v>0</v>
      </c>
      <c r="T49" s="184">
        <f t="shared" si="28"/>
        <v>0</v>
      </c>
      <c r="U49" s="185">
        <v>4209000</v>
      </c>
      <c r="V49" s="184">
        <f t="shared" si="29"/>
        <v>0.19131818181818183</v>
      </c>
      <c r="W49" s="185">
        <v>4209000</v>
      </c>
      <c r="X49" s="184">
        <f t="shared" si="30"/>
        <v>0.38263636363636366</v>
      </c>
      <c r="Y49" s="186"/>
      <c r="Z49" s="184">
        <f t="shared" si="32"/>
        <v>0.38263636363636366</v>
      </c>
      <c r="AA49" s="186"/>
      <c r="AB49" s="186"/>
      <c r="AC49" s="162"/>
      <c r="AD49" s="162"/>
      <c r="AE49" s="162"/>
      <c r="AF49" s="162"/>
      <c r="AG49" s="158">
        <f t="shared" si="2"/>
        <v>8418000</v>
      </c>
      <c r="AH49" s="159">
        <f t="shared" si="3"/>
        <v>0.38263636363636366</v>
      </c>
      <c r="AI49" s="183">
        <v>0</v>
      </c>
      <c r="AJ49" s="165">
        <f t="shared" si="4"/>
        <v>0</v>
      </c>
      <c r="AK49" s="183">
        <v>0</v>
      </c>
      <c r="AL49" s="165">
        <f t="shared" si="5"/>
        <v>0</v>
      </c>
      <c r="AM49" s="185">
        <v>0</v>
      </c>
      <c r="AN49" s="165">
        <f t="shared" si="6"/>
        <v>0</v>
      </c>
      <c r="AO49" s="185">
        <v>0</v>
      </c>
      <c r="AP49" s="165">
        <f t="shared" si="7"/>
        <v>0</v>
      </c>
      <c r="AQ49" s="186">
        <v>0</v>
      </c>
      <c r="AR49" s="165">
        <f t="shared" si="8"/>
        <v>0</v>
      </c>
      <c r="AS49" s="186">
        <v>0</v>
      </c>
      <c r="AT49" s="165">
        <f t="shared" si="9"/>
        <v>0</v>
      </c>
      <c r="AU49" s="185">
        <v>4209000</v>
      </c>
      <c r="AV49" s="165">
        <f t="shared" si="10"/>
        <v>0.19131818181818183</v>
      </c>
      <c r="AW49" s="185">
        <v>4209000</v>
      </c>
      <c r="AX49" s="165">
        <f t="shared" si="11"/>
        <v>0.38263636363636366</v>
      </c>
      <c r="AY49" s="186"/>
      <c r="AZ49" s="165">
        <f t="shared" si="12"/>
        <v>0.38263636363636366</v>
      </c>
      <c r="BA49" s="186"/>
      <c r="BB49" s="165">
        <f t="shared" si="13"/>
        <v>0.38263636363636366</v>
      </c>
      <c r="BC49" s="162"/>
      <c r="BD49" s="162"/>
      <c r="BE49" s="162"/>
      <c r="BF49" s="162"/>
      <c r="BG49" s="158">
        <f t="shared" si="33"/>
        <v>8418000</v>
      </c>
    </row>
    <row r="50" spans="1:59" ht="16.5" thickBot="1" x14ac:dyDescent="0.3">
      <c r="A50" s="203" t="s">
        <v>159</v>
      </c>
      <c r="B50" s="146" t="s">
        <v>160</v>
      </c>
      <c r="C50" s="147">
        <v>1099874445</v>
      </c>
      <c r="D50" s="148">
        <v>5704232</v>
      </c>
      <c r="E50" s="149"/>
      <c r="F50" s="151">
        <f>D50</f>
        <v>5704232</v>
      </c>
      <c r="G50" s="150">
        <v>45170</v>
      </c>
      <c r="H50" s="150">
        <v>45291</v>
      </c>
      <c r="I50" s="183">
        <v>0</v>
      </c>
      <c r="J50" s="184">
        <f t="shared" si="24"/>
        <v>0</v>
      </c>
      <c r="K50" s="183">
        <v>0</v>
      </c>
      <c r="L50" s="184">
        <f t="shared" si="25"/>
        <v>0</v>
      </c>
      <c r="M50" s="185">
        <v>0</v>
      </c>
      <c r="N50" s="184">
        <f t="shared" si="26"/>
        <v>0</v>
      </c>
      <c r="O50" s="185">
        <v>0</v>
      </c>
      <c r="P50" s="184">
        <f t="shared" si="27"/>
        <v>0</v>
      </c>
      <c r="Q50" s="186">
        <v>0</v>
      </c>
      <c r="R50" s="184">
        <f t="shared" si="31"/>
        <v>0</v>
      </c>
      <c r="S50" s="186">
        <v>0</v>
      </c>
      <c r="T50" s="184">
        <f t="shared" si="28"/>
        <v>0</v>
      </c>
      <c r="U50" s="186">
        <v>0</v>
      </c>
      <c r="V50" s="184">
        <f t="shared" si="29"/>
        <v>0</v>
      </c>
      <c r="W50" s="186">
        <v>0</v>
      </c>
      <c r="X50" s="184">
        <f t="shared" si="30"/>
        <v>0</v>
      </c>
      <c r="Y50" s="185">
        <v>1426058</v>
      </c>
      <c r="Z50" s="184">
        <f t="shared" si="32"/>
        <v>0.25</v>
      </c>
      <c r="AA50" s="185">
        <v>1426058</v>
      </c>
      <c r="AB50" s="184">
        <f>SUM(AA50,Y50)/F50</f>
        <v>0.5</v>
      </c>
      <c r="AC50" s="162"/>
      <c r="AD50" s="162"/>
      <c r="AE50" s="162"/>
      <c r="AF50" s="162"/>
      <c r="AG50" s="158">
        <f t="shared" si="2"/>
        <v>2852116</v>
      </c>
      <c r="AH50" s="159">
        <f t="shared" si="3"/>
        <v>0.5</v>
      </c>
      <c r="AI50" s="183">
        <v>0</v>
      </c>
      <c r="AJ50" s="165">
        <f t="shared" si="4"/>
        <v>0</v>
      </c>
      <c r="AK50" s="183">
        <v>0</v>
      </c>
      <c r="AL50" s="165">
        <f t="shared" si="5"/>
        <v>0</v>
      </c>
      <c r="AM50" s="185">
        <v>0</v>
      </c>
      <c r="AN50" s="165">
        <f t="shared" si="6"/>
        <v>0</v>
      </c>
      <c r="AO50" s="185">
        <v>0</v>
      </c>
      <c r="AP50" s="165">
        <f t="shared" si="7"/>
        <v>0</v>
      </c>
      <c r="AQ50" s="186">
        <v>0</v>
      </c>
      <c r="AR50" s="165" t="e">
        <f t="shared" si="8"/>
        <v>#DIV/0!</v>
      </c>
      <c r="AS50" s="186">
        <v>0</v>
      </c>
      <c r="AT50" s="165">
        <f t="shared" si="9"/>
        <v>0</v>
      </c>
      <c r="AU50" s="186">
        <v>0</v>
      </c>
      <c r="AV50" s="165">
        <f t="shared" si="10"/>
        <v>0</v>
      </c>
      <c r="AW50" s="186">
        <v>0</v>
      </c>
      <c r="AX50" s="165">
        <f t="shared" si="11"/>
        <v>0</v>
      </c>
      <c r="AY50" s="185">
        <v>1426058</v>
      </c>
      <c r="AZ50" s="165">
        <f t="shared" si="12"/>
        <v>0.25</v>
      </c>
      <c r="BA50" s="185">
        <v>1426058</v>
      </c>
      <c r="BB50" s="165">
        <f t="shared" si="13"/>
        <v>0.5</v>
      </c>
      <c r="BC50" s="162"/>
      <c r="BD50" s="162"/>
      <c r="BE50" s="162"/>
      <c r="BF50" s="162"/>
      <c r="BG50" s="158">
        <f t="shared" si="33"/>
        <v>2852116</v>
      </c>
    </row>
    <row r="51" spans="1:59" x14ac:dyDescent="0.25">
      <c r="L51"/>
      <c r="N51"/>
      <c r="P51"/>
      <c r="R51"/>
      <c r="T51"/>
      <c r="V51"/>
      <c r="X51"/>
      <c r="Z51"/>
    </row>
  </sheetData>
  <mergeCells count="40">
    <mergeCell ref="A23:A24"/>
    <mergeCell ref="B23:B24"/>
    <mergeCell ref="C23:C24"/>
    <mergeCell ref="D23:D24"/>
    <mergeCell ref="F2:F3"/>
    <mergeCell ref="A2:A3"/>
    <mergeCell ref="B2:B3"/>
    <mergeCell ref="C2:C3"/>
    <mergeCell ref="D2:D3"/>
    <mergeCell ref="E2:E3"/>
    <mergeCell ref="F23:F24"/>
    <mergeCell ref="G2:G3"/>
    <mergeCell ref="H2:H3"/>
    <mergeCell ref="I1:AG1"/>
    <mergeCell ref="U2:V2"/>
    <mergeCell ref="W2:X2"/>
    <mergeCell ref="Y2:Z2"/>
    <mergeCell ref="AA2:AB2"/>
    <mergeCell ref="AC2:AD2"/>
    <mergeCell ref="AE2:AF2"/>
    <mergeCell ref="M2:N2"/>
    <mergeCell ref="O2:P2"/>
    <mergeCell ref="Q2:R2"/>
    <mergeCell ref="S2:T2"/>
    <mergeCell ref="I2:J2"/>
    <mergeCell ref="K2:L2"/>
    <mergeCell ref="AH1:BF1"/>
    <mergeCell ref="AI2:AJ2"/>
    <mergeCell ref="AK2:AL2"/>
    <mergeCell ref="AO2:AP2"/>
    <mergeCell ref="AQ2:AR2"/>
    <mergeCell ref="AS2:AT2"/>
    <mergeCell ref="AU2:AV2"/>
    <mergeCell ref="AM2:AN2"/>
    <mergeCell ref="AY2:AZ2"/>
    <mergeCell ref="BA2:BB2"/>
    <mergeCell ref="BC2:BD2"/>
    <mergeCell ref="BE2:BF2"/>
    <mergeCell ref="AG2:AH2"/>
    <mergeCell ref="AW2:AX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vt:lpstr>
      <vt:lpstr>EJECUCIÓN DE CONTRATOS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SANDRA MILENA PLATA DIAZ</cp:lastModifiedBy>
  <cp:lastPrinted>2022-07-29T13:02:33Z</cp:lastPrinted>
  <dcterms:created xsi:type="dcterms:W3CDTF">2015-12-09T15:18:07Z</dcterms:created>
  <dcterms:modified xsi:type="dcterms:W3CDTF">2024-12-30T22:20:23Z</dcterms:modified>
</cp:coreProperties>
</file>